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Physio-chemical Data\Wetland\Water\Eric Krampah\"/>
    </mc:Choice>
  </mc:AlternateContent>
  <xr:revisionPtr revIDLastSave="0" documentId="13_ncr:1_{34C72412-99F0-4CDA-900A-E2D5570228A3}" xr6:coauthVersionLast="47" xr6:coauthVersionMax="47" xr10:uidLastSave="{00000000-0000-0000-0000-000000000000}"/>
  <bookViews>
    <workbookView xWindow="-120" yWindow="-120" windowWidth="20730" windowHeight="11760" firstSheet="3" activeTab="5" xr2:uid="{00000000-000D-0000-FFFF-FFFF00000000}"/>
  </bookViews>
  <sheets>
    <sheet name="Benya " sheetId="1" r:id="rId1"/>
    <sheet name="CompositionofToxicPhytoplankton" sheetId="8" r:id="rId2"/>
    <sheet name="Narkwa" sheetId="3" r:id="rId3"/>
    <sheet name="Monthly_ %composition_BY" sheetId="6" r:id="rId4"/>
    <sheet name="Monthly_%composition_Narkwa" sheetId="5" r:id="rId5"/>
    <sheet name="MetaData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" l="1"/>
  <c r="ET4" i="3"/>
  <c r="C14" i="8" l="1"/>
  <c r="D14" i="8"/>
  <c r="E14" i="8"/>
  <c r="F14" i="8"/>
  <c r="G14" i="8"/>
  <c r="H14" i="8"/>
  <c r="I14" i="8"/>
  <c r="J14" i="8"/>
  <c r="K14" i="8"/>
  <c r="L14" i="8"/>
  <c r="M14" i="8"/>
  <c r="B14" i="8"/>
  <c r="AO12" i="1"/>
  <c r="D64" i="1" l="1"/>
  <c r="F64" i="1"/>
  <c r="CQ15" i="1"/>
  <c r="AO6" i="1"/>
  <c r="AO7" i="1"/>
  <c r="AO8" i="1"/>
  <c r="AO9" i="1"/>
  <c r="AO10" i="1"/>
  <c r="AO11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6" i="1"/>
  <c r="AO5" i="1"/>
  <c r="AD51" i="1"/>
  <c r="AD52" i="1"/>
  <c r="AD54" i="1"/>
  <c r="AF38" i="6"/>
  <c r="AV4" i="5" l="1"/>
  <c r="AV5" i="5"/>
  <c r="AV6" i="5"/>
  <c r="AV7" i="5"/>
  <c r="AV8" i="5"/>
  <c r="AV9" i="5"/>
  <c r="AV10" i="5"/>
  <c r="AV11" i="5"/>
  <c r="AV12" i="5"/>
  <c r="AV13" i="5"/>
  <c r="AV14" i="5"/>
  <c r="AV15" i="5"/>
  <c r="AV16" i="5"/>
  <c r="AV17" i="5"/>
  <c r="AV18" i="5"/>
  <c r="AV19" i="5"/>
  <c r="AV20" i="5"/>
  <c r="AV21" i="5"/>
  <c r="AV22" i="5"/>
  <c r="AV23" i="5"/>
  <c r="AV24" i="5"/>
  <c r="AV25" i="5"/>
  <c r="AV26" i="5"/>
  <c r="AV27" i="5"/>
  <c r="AV28" i="5"/>
  <c r="AV29" i="5"/>
  <c r="AV30" i="5"/>
  <c r="AV31" i="5"/>
  <c r="AV32" i="5"/>
  <c r="AV33" i="5"/>
  <c r="AV34" i="5"/>
  <c r="AV35" i="5"/>
  <c r="AV36" i="5"/>
  <c r="AV37" i="5"/>
  <c r="AV38" i="5"/>
  <c r="AV39" i="5"/>
  <c r="AV40" i="5"/>
  <c r="AV41" i="5"/>
  <c r="AV42" i="5"/>
  <c r="AV43" i="5"/>
  <c r="AV44" i="5"/>
  <c r="AV45" i="5"/>
  <c r="AV46" i="5"/>
  <c r="AV47" i="5"/>
  <c r="AV48" i="5"/>
  <c r="AV49" i="5"/>
  <c r="AV50" i="5"/>
  <c r="AV51" i="5"/>
  <c r="AV52" i="5"/>
  <c r="AV53" i="5"/>
  <c r="AV54" i="5"/>
  <c r="AV55" i="5"/>
  <c r="AV56" i="5"/>
  <c r="AV57" i="5"/>
  <c r="AV3" i="5"/>
  <c r="AU58" i="5"/>
  <c r="J14" i="3"/>
  <c r="J9" i="6" l="1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8" i="6"/>
  <c r="I49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8" i="6"/>
  <c r="C35" i="6"/>
  <c r="CY9" i="6"/>
  <c r="CY10" i="6"/>
  <c r="CY11" i="6"/>
  <c r="CY12" i="6"/>
  <c r="CY13" i="6"/>
  <c r="CY14" i="6"/>
  <c r="CY15" i="6"/>
  <c r="CY16" i="6"/>
  <c r="CY17" i="6"/>
  <c r="CY18" i="6"/>
  <c r="CY19" i="6"/>
  <c r="CY20" i="6"/>
  <c r="CY21" i="6"/>
  <c r="CY22" i="6"/>
  <c r="CY23" i="6"/>
  <c r="CY24" i="6"/>
  <c r="CY25" i="6"/>
  <c r="CY26" i="6"/>
  <c r="CY27" i="6"/>
  <c r="CY28" i="6"/>
  <c r="CY29" i="6"/>
  <c r="CY30" i="6"/>
  <c r="CY31" i="6"/>
  <c r="CY32" i="6"/>
  <c r="CY33" i="6"/>
  <c r="CY34" i="6"/>
  <c r="CY35" i="6"/>
  <c r="CY36" i="6"/>
  <c r="CY37" i="6"/>
  <c r="CY38" i="6"/>
  <c r="CY39" i="6"/>
  <c r="CY40" i="6"/>
  <c r="CY41" i="6"/>
  <c r="CY42" i="6"/>
  <c r="CY43" i="6"/>
  <c r="CY44" i="6"/>
  <c r="CY8" i="6"/>
  <c r="CX45" i="6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3" i="5"/>
  <c r="I45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C29" i="5"/>
  <c r="EQ48" i="5"/>
  <c r="ER4" i="5"/>
  <c r="ER5" i="5"/>
  <c r="ER6" i="5"/>
  <c r="ER7" i="5"/>
  <c r="ER8" i="5"/>
  <c r="ER9" i="5"/>
  <c r="ER10" i="5"/>
  <c r="ER11" i="5"/>
  <c r="ER12" i="5"/>
  <c r="ER13" i="5"/>
  <c r="ER14" i="5"/>
  <c r="ER15" i="5"/>
  <c r="ER16" i="5"/>
  <c r="ER17" i="5"/>
  <c r="ER18" i="5"/>
  <c r="ER19" i="5"/>
  <c r="ER20" i="5"/>
  <c r="ER21" i="5"/>
  <c r="ER22" i="5"/>
  <c r="ER23" i="5"/>
  <c r="ER24" i="5"/>
  <c r="ER25" i="5"/>
  <c r="ER26" i="5"/>
  <c r="ER27" i="5"/>
  <c r="ER28" i="5"/>
  <c r="ER29" i="5"/>
  <c r="ER30" i="5"/>
  <c r="ER31" i="5"/>
  <c r="ER32" i="5"/>
  <c r="ER33" i="5"/>
  <c r="ER34" i="5"/>
  <c r="ER35" i="5"/>
  <c r="ER36" i="5"/>
  <c r="ER37" i="5"/>
  <c r="ER38" i="5"/>
  <c r="ER39" i="5"/>
  <c r="ER40" i="5"/>
  <c r="ER41" i="5"/>
  <c r="ER42" i="5"/>
  <c r="ER43" i="5"/>
  <c r="ER44" i="5"/>
  <c r="ER45" i="5"/>
  <c r="ER46" i="5"/>
  <c r="ER47" i="5"/>
  <c r="ER3" i="5"/>
  <c r="EO4" i="5"/>
  <c r="EO5" i="5"/>
  <c r="EO6" i="5"/>
  <c r="EO7" i="5"/>
  <c r="EO8" i="5"/>
  <c r="EO9" i="5"/>
  <c r="EO10" i="5"/>
  <c r="EO11" i="5"/>
  <c r="EO12" i="5"/>
  <c r="EO13" i="5"/>
  <c r="EO14" i="5"/>
  <c r="EO15" i="5"/>
  <c r="EO16" i="5"/>
  <c r="EO17" i="5"/>
  <c r="EO18" i="5"/>
  <c r="EO19" i="5"/>
  <c r="EO20" i="5"/>
  <c r="EO21" i="5"/>
  <c r="EO22" i="5"/>
  <c r="EO23" i="5"/>
  <c r="EO24" i="5"/>
  <c r="EO25" i="5"/>
  <c r="EO26" i="5"/>
  <c r="EO27" i="5"/>
  <c r="EO28" i="5"/>
  <c r="EO29" i="5"/>
  <c r="EO30" i="5"/>
  <c r="EO31" i="5"/>
  <c r="EO32" i="5"/>
  <c r="EO33" i="5"/>
  <c r="EO34" i="5"/>
  <c r="EO35" i="5"/>
  <c r="EO36" i="5"/>
  <c r="EO37" i="5"/>
  <c r="EO38" i="5"/>
  <c r="EO39" i="5"/>
  <c r="EO40" i="5"/>
  <c r="EO41" i="5"/>
  <c r="EO42" i="5"/>
  <c r="EO43" i="5"/>
  <c r="EO44" i="5"/>
  <c r="EO45" i="5"/>
  <c r="EO46" i="5"/>
  <c r="EO47" i="5"/>
  <c r="EO3" i="5"/>
  <c r="EL4" i="5"/>
  <c r="EL5" i="5"/>
  <c r="EL6" i="5"/>
  <c r="EL7" i="5"/>
  <c r="EL8" i="5"/>
  <c r="EL9" i="5"/>
  <c r="EL10" i="5"/>
  <c r="EL11" i="5"/>
  <c r="EL12" i="5"/>
  <c r="EL13" i="5"/>
  <c r="EL14" i="5"/>
  <c r="EL15" i="5"/>
  <c r="EL16" i="5"/>
  <c r="EL17" i="5"/>
  <c r="EL18" i="5"/>
  <c r="EL19" i="5"/>
  <c r="EL20" i="5"/>
  <c r="EL21" i="5"/>
  <c r="EL22" i="5"/>
  <c r="EL23" i="5"/>
  <c r="EL24" i="5"/>
  <c r="EL25" i="5"/>
  <c r="EL26" i="5"/>
  <c r="EL27" i="5"/>
  <c r="EL28" i="5"/>
  <c r="EL29" i="5"/>
  <c r="EL30" i="5"/>
  <c r="EL31" i="5"/>
  <c r="EL32" i="5"/>
  <c r="EL33" i="5"/>
  <c r="EL34" i="5"/>
  <c r="EL35" i="5"/>
  <c r="EL36" i="5"/>
  <c r="EL37" i="5"/>
  <c r="EL38" i="5"/>
  <c r="EL39" i="5"/>
  <c r="EL40" i="5"/>
  <c r="EL41" i="5"/>
  <c r="EL42" i="5"/>
  <c r="EL43" i="5"/>
  <c r="EL44" i="5"/>
  <c r="EL45" i="5"/>
  <c r="EL46" i="5"/>
  <c r="EL47" i="5"/>
  <c r="EL3" i="5"/>
  <c r="EI4" i="5"/>
  <c r="EI5" i="5"/>
  <c r="EI6" i="5"/>
  <c r="EI7" i="5"/>
  <c r="EI8" i="5"/>
  <c r="EI9" i="5"/>
  <c r="EI10" i="5"/>
  <c r="EI11" i="5"/>
  <c r="EI12" i="5"/>
  <c r="EI13" i="5"/>
  <c r="EI14" i="5"/>
  <c r="EI15" i="5"/>
  <c r="EI16" i="5"/>
  <c r="EI17" i="5"/>
  <c r="EI18" i="5"/>
  <c r="EI19" i="5"/>
  <c r="EI20" i="5"/>
  <c r="EI21" i="5"/>
  <c r="EI22" i="5"/>
  <c r="EI23" i="5"/>
  <c r="EI24" i="5"/>
  <c r="EI25" i="5"/>
  <c r="EI26" i="5"/>
  <c r="EI27" i="5"/>
  <c r="EI28" i="5"/>
  <c r="EI29" i="5"/>
  <c r="EI30" i="5"/>
  <c r="EI31" i="5"/>
  <c r="EI32" i="5"/>
  <c r="EI33" i="5"/>
  <c r="EI34" i="5"/>
  <c r="EI35" i="5"/>
  <c r="EI36" i="5"/>
  <c r="EI37" i="5"/>
  <c r="EI38" i="5"/>
  <c r="EI39" i="5"/>
  <c r="EI40" i="5"/>
  <c r="EI41" i="5"/>
  <c r="EI42" i="5"/>
  <c r="EI43" i="5"/>
  <c r="EI44" i="5"/>
  <c r="EI45" i="5"/>
  <c r="EI46" i="5"/>
  <c r="EI47" i="5"/>
  <c r="EI3" i="5"/>
  <c r="EK48" i="5"/>
  <c r="EN48" i="5"/>
  <c r="EH48" i="5"/>
  <c r="DW47" i="5"/>
  <c r="DZ47" i="5"/>
  <c r="EA4" i="5"/>
  <c r="EA5" i="5"/>
  <c r="EA6" i="5"/>
  <c r="EA7" i="5"/>
  <c r="EA8" i="5"/>
  <c r="EA9" i="5"/>
  <c r="EA10" i="5"/>
  <c r="EA11" i="5"/>
  <c r="EA12" i="5"/>
  <c r="EA13" i="5"/>
  <c r="EA14" i="5"/>
  <c r="EA15" i="5"/>
  <c r="EA16" i="5"/>
  <c r="EA17" i="5"/>
  <c r="EA18" i="5"/>
  <c r="EA19" i="5"/>
  <c r="EA20" i="5"/>
  <c r="EA21" i="5"/>
  <c r="EA22" i="5"/>
  <c r="EA23" i="5"/>
  <c r="EA24" i="5"/>
  <c r="EA25" i="5"/>
  <c r="EA26" i="5"/>
  <c r="EA27" i="5"/>
  <c r="EA28" i="5"/>
  <c r="EA29" i="5"/>
  <c r="EA30" i="5"/>
  <c r="EA31" i="5"/>
  <c r="EA32" i="5"/>
  <c r="EA33" i="5"/>
  <c r="EA34" i="5"/>
  <c r="EA35" i="5"/>
  <c r="EA36" i="5"/>
  <c r="EA37" i="5"/>
  <c r="EA38" i="5"/>
  <c r="EA39" i="5"/>
  <c r="EA40" i="5"/>
  <c r="EA41" i="5"/>
  <c r="EA42" i="5"/>
  <c r="EA43" i="5"/>
  <c r="EA44" i="5"/>
  <c r="EA45" i="5"/>
  <c r="EA46" i="5"/>
  <c r="EA3" i="5"/>
  <c r="DX4" i="5"/>
  <c r="DX5" i="5"/>
  <c r="DX6" i="5"/>
  <c r="DX7" i="5"/>
  <c r="DX8" i="5"/>
  <c r="DX9" i="5"/>
  <c r="DX10" i="5"/>
  <c r="DX11" i="5"/>
  <c r="DX12" i="5"/>
  <c r="DX13" i="5"/>
  <c r="DX14" i="5"/>
  <c r="DX15" i="5"/>
  <c r="DX16" i="5"/>
  <c r="DX17" i="5"/>
  <c r="DX18" i="5"/>
  <c r="DX19" i="5"/>
  <c r="DX20" i="5"/>
  <c r="DX21" i="5"/>
  <c r="DX22" i="5"/>
  <c r="DX23" i="5"/>
  <c r="DX24" i="5"/>
  <c r="DX25" i="5"/>
  <c r="DX26" i="5"/>
  <c r="DX27" i="5"/>
  <c r="DX28" i="5"/>
  <c r="DX29" i="5"/>
  <c r="DX30" i="5"/>
  <c r="DX31" i="5"/>
  <c r="DX32" i="5"/>
  <c r="DX33" i="5"/>
  <c r="DX34" i="5"/>
  <c r="DX35" i="5"/>
  <c r="DX36" i="5"/>
  <c r="DX37" i="5"/>
  <c r="DX38" i="5"/>
  <c r="DX39" i="5"/>
  <c r="DX40" i="5"/>
  <c r="DX41" i="5"/>
  <c r="DX42" i="5"/>
  <c r="DX43" i="5"/>
  <c r="DX44" i="5"/>
  <c r="DX45" i="5"/>
  <c r="DX46" i="5"/>
  <c r="DX3" i="5"/>
  <c r="DU4" i="5"/>
  <c r="DU5" i="5"/>
  <c r="DU6" i="5"/>
  <c r="DU7" i="5"/>
  <c r="DU8" i="5"/>
  <c r="DU9" i="5"/>
  <c r="DU10" i="5"/>
  <c r="DU11" i="5"/>
  <c r="DU12" i="5"/>
  <c r="DU13" i="5"/>
  <c r="DU14" i="5"/>
  <c r="DU15" i="5"/>
  <c r="DU16" i="5"/>
  <c r="DU17" i="5"/>
  <c r="DU18" i="5"/>
  <c r="DU19" i="5"/>
  <c r="DU20" i="5"/>
  <c r="DU21" i="5"/>
  <c r="DU22" i="5"/>
  <c r="DU23" i="5"/>
  <c r="DU24" i="5"/>
  <c r="DU25" i="5"/>
  <c r="DU26" i="5"/>
  <c r="DU27" i="5"/>
  <c r="DU28" i="5"/>
  <c r="DU29" i="5"/>
  <c r="DU30" i="5"/>
  <c r="DU31" i="5"/>
  <c r="DU32" i="5"/>
  <c r="DU33" i="5"/>
  <c r="DU34" i="5"/>
  <c r="DU35" i="5"/>
  <c r="DU36" i="5"/>
  <c r="DU37" i="5"/>
  <c r="DU38" i="5"/>
  <c r="DU39" i="5"/>
  <c r="DU40" i="5"/>
  <c r="DU41" i="5"/>
  <c r="DU42" i="5"/>
  <c r="DU43" i="5"/>
  <c r="DU44" i="5"/>
  <c r="DU45" i="5"/>
  <c r="DU46" i="5"/>
  <c r="DU3" i="5"/>
  <c r="DT47" i="5"/>
  <c r="DN4" i="5"/>
  <c r="DN5" i="5"/>
  <c r="DN6" i="5"/>
  <c r="DN7" i="5"/>
  <c r="DN8" i="5"/>
  <c r="DN9" i="5"/>
  <c r="DN10" i="5"/>
  <c r="DN11" i="5"/>
  <c r="DN12" i="5"/>
  <c r="DN13" i="5"/>
  <c r="DN14" i="5"/>
  <c r="DN15" i="5"/>
  <c r="DN16" i="5"/>
  <c r="DN17" i="5"/>
  <c r="DN18" i="5"/>
  <c r="DN19" i="5"/>
  <c r="DN20" i="5"/>
  <c r="DN21" i="5"/>
  <c r="DN22" i="5"/>
  <c r="DN23" i="5"/>
  <c r="DN24" i="5"/>
  <c r="DN25" i="5"/>
  <c r="DN26" i="5"/>
  <c r="DN27" i="5"/>
  <c r="DN28" i="5"/>
  <c r="DN29" i="5"/>
  <c r="DN30" i="5"/>
  <c r="DN31" i="5"/>
  <c r="DN32" i="5"/>
  <c r="DN33" i="5"/>
  <c r="DN34" i="5"/>
  <c r="DN35" i="5"/>
  <c r="DN36" i="5"/>
  <c r="DN37" i="5"/>
  <c r="DN38" i="5"/>
  <c r="DN39" i="5"/>
  <c r="DN40" i="5"/>
  <c r="DN41" i="5"/>
  <c r="DN42" i="5"/>
  <c r="DN43" i="5"/>
  <c r="DN44" i="5"/>
  <c r="DN3" i="5"/>
  <c r="DK4" i="5"/>
  <c r="DK5" i="5"/>
  <c r="DK6" i="5"/>
  <c r="DK7" i="5"/>
  <c r="DK8" i="5"/>
  <c r="DK9" i="5"/>
  <c r="DK10" i="5"/>
  <c r="DK11" i="5"/>
  <c r="DK12" i="5"/>
  <c r="DK13" i="5"/>
  <c r="DK14" i="5"/>
  <c r="DK15" i="5"/>
  <c r="DK16" i="5"/>
  <c r="DK17" i="5"/>
  <c r="DK18" i="5"/>
  <c r="DK19" i="5"/>
  <c r="DK20" i="5"/>
  <c r="DK21" i="5"/>
  <c r="DK22" i="5"/>
  <c r="DK23" i="5"/>
  <c r="DK24" i="5"/>
  <c r="DK25" i="5"/>
  <c r="DK26" i="5"/>
  <c r="DK27" i="5"/>
  <c r="DK28" i="5"/>
  <c r="DK29" i="5"/>
  <c r="DK30" i="5"/>
  <c r="DK31" i="5"/>
  <c r="DK32" i="5"/>
  <c r="DK33" i="5"/>
  <c r="DK34" i="5"/>
  <c r="DK35" i="5"/>
  <c r="DK36" i="5"/>
  <c r="DK37" i="5"/>
  <c r="DK38" i="5"/>
  <c r="DK39" i="5"/>
  <c r="DK40" i="5"/>
  <c r="DK41" i="5"/>
  <c r="DK42" i="5"/>
  <c r="DK43" i="5"/>
  <c r="DK44" i="5"/>
  <c r="DK3" i="5"/>
  <c r="DH4" i="5"/>
  <c r="DH5" i="5"/>
  <c r="DH6" i="5"/>
  <c r="DH7" i="5"/>
  <c r="DH8" i="5"/>
  <c r="DH9" i="5"/>
  <c r="DH10" i="5"/>
  <c r="DH11" i="5"/>
  <c r="DH12" i="5"/>
  <c r="DH13" i="5"/>
  <c r="DH14" i="5"/>
  <c r="DH15" i="5"/>
  <c r="DH16" i="5"/>
  <c r="DH17" i="5"/>
  <c r="DH18" i="5"/>
  <c r="DH19" i="5"/>
  <c r="DH20" i="5"/>
  <c r="DH21" i="5"/>
  <c r="DH22" i="5"/>
  <c r="DH23" i="5"/>
  <c r="DH24" i="5"/>
  <c r="DH25" i="5"/>
  <c r="DH26" i="5"/>
  <c r="DH27" i="5"/>
  <c r="DH28" i="5"/>
  <c r="DH29" i="5"/>
  <c r="DH30" i="5"/>
  <c r="DH31" i="5"/>
  <c r="DH32" i="5"/>
  <c r="DH33" i="5"/>
  <c r="DH34" i="5"/>
  <c r="DH35" i="5"/>
  <c r="DH36" i="5"/>
  <c r="DH37" i="5"/>
  <c r="DH38" i="5"/>
  <c r="DH39" i="5"/>
  <c r="DH40" i="5"/>
  <c r="DH41" i="5"/>
  <c r="DH42" i="5"/>
  <c r="DH43" i="5"/>
  <c r="DH44" i="5"/>
  <c r="DH3" i="5"/>
  <c r="DE4" i="5"/>
  <c r="DE5" i="5"/>
  <c r="DE6" i="5"/>
  <c r="DE7" i="5"/>
  <c r="DE8" i="5"/>
  <c r="DE9" i="5"/>
  <c r="DE10" i="5"/>
  <c r="DE11" i="5"/>
  <c r="DE12" i="5"/>
  <c r="DE13" i="5"/>
  <c r="DE14" i="5"/>
  <c r="DE15" i="5"/>
  <c r="DE16" i="5"/>
  <c r="DE17" i="5"/>
  <c r="DE18" i="5"/>
  <c r="DE19" i="5"/>
  <c r="DE20" i="5"/>
  <c r="DE21" i="5"/>
  <c r="DE22" i="5"/>
  <c r="DE23" i="5"/>
  <c r="DE24" i="5"/>
  <c r="DE25" i="5"/>
  <c r="DE26" i="5"/>
  <c r="DE27" i="5"/>
  <c r="DE28" i="5"/>
  <c r="DE29" i="5"/>
  <c r="DE30" i="5"/>
  <c r="DE31" i="5"/>
  <c r="DE32" i="5"/>
  <c r="DE33" i="5"/>
  <c r="DE34" i="5"/>
  <c r="DE35" i="5"/>
  <c r="DE36" i="5"/>
  <c r="DE37" i="5"/>
  <c r="DE38" i="5"/>
  <c r="DE39" i="5"/>
  <c r="DE40" i="5"/>
  <c r="DE41" i="5"/>
  <c r="DE42" i="5"/>
  <c r="DE43" i="5"/>
  <c r="DE44" i="5"/>
  <c r="DE3" i="5"/>
  <c r="DG45" i="5"/>
  <c r="DJ45" i="5"/>
  <c r="DM45" i="5"/>
  <c r="DD45" i="5"/>
  <c r="CX4" i="5"/>
  <c r="CX5" i="5"/>
  <c r="CX6" i="5"/>
  <c r="CX7" i="5"/>
  <c r="CX8" i="5"/>
  <c r="CX9" i="5"/>
  <c r="CX10" i="5"/>
  <c r="CX11" i="5"/>
  <c r="CX12" i="5"/>
  <c r="CX13" i="5"/>
  <c r="CX14" i="5"/>
  <c r="CX15" i="5"/>
  <c r="CX16" i="5"/>
  <c r="CX17" i="5"/>
  <c r="CX18" i="5"/>
  <c r="CX19" i="5"/>
  <c r="CX20" i="5"/>
  <c r="CX21" i="5"/>
  <c r="CX22" i="5"/>
  <c r="CX23" i="5"/>
  <c r="CX24" i="5"/>
  <c r="CX25" i="5"/>
  <c r="CX26" i="5"/>
  <c r="CX27" i="5"/>
  <c r="CX28" i="5"/>
  <c r="CX29" i="5"/>
  <c r="CX30" i="5"/>
  <c r="CX31" i="5"/>
  <c r="CX32" i="5"/>
  <c r="CX33" i="5"/>
  <c r="CX34" i="5"/>
  <c r="CX35" i="5"/>
  <c r="CX36" i="5"/>
  <c r="CX37" i="5"/>
  <c r="CX38" i="5"/>
  <c r="CX3" i="5"/>
  <c r="CW39" i="5"/>
  <c r="CQ4" i="5"/>
  <c r="CQ5" i="5"/>
  <c r="CQ6" i="5"/>
  <c r="CQ7" i="5"/>
  <c r="CQ8" i="5"/>
  <c r="CQ9" i="5"/>
  <c r="CQ10" i="5"/>
  <c r="CQ11" i="5"/>
  <c r="CQ12" i="5"/>
  <c r="CQ13" i="5"/>
  <c r="CQ14" i="5"/>
  <c r="CQ15" i="5"/>
  <c r="CQ16" i="5"/>
  <c r="CQ17" i="5"/>
  <c r="CQ18" i="5"/>
  <c r="CQ19" i="5"/>
  <c r="CQ20" i="5"/>
  <c r="CQ21" i="5"/>
  <c r="CQ22" i="5"/>
  <c r="CQ23" i="5"/>
  <c r="CQ24" i="5"/>
  <c r="CQ25" i="5"/>
  <c r="CQ26" i="5"/>
  <c r="CQ27" i="5"/>
  <c r="CQ28" i="5"/>
  <c r="CQ29" i="5"/>
  <c r="CQ30" i="5"/>
  <c r="CQ31" i="5"/>
  <c r="CQ32" i="5"/>
  <c r="CQ33" i="5"/>
  <c r="CQ34" i="5"/>
  <c r="CQ35" i="5"/>
  <c r="CQ36" i="5"/>
  <c r="CQ37" i="5"/>
  <c r="CQ38" i="5"/>
  <c r="CQ39" i="5"/>
  <c r="CQ40" i="5"/>
  <c r="CQ41" i="5"/>
  <c r="CQ42" i="5"/>
  <c r="CQ43" i="5"/>
  <c r="CQ44" i="5"/>
  <c r="CQ45" i="5"/>
  <c r="CQ46" i="5"/>
  <c r="CQ47" i="5"/>
  <c r="CQ48" i="5"/>
  <c r="CQ49" i="5"/>
  <c r="CQ50" i="5"/>
  <c r="CQ51" i="5"/>
  <c r="CQ52" i="5"/>
  <c r="CQ53" i="5"/>
  <c r="CQ54" i="5"/>
  <c r="CQ55" i="5"/>
  <c r="CQ56" i="5"/>
  <c r="CQ57" i="5"/>
  <c r="CQ58" i="5"/>
  <c r="CQ59" i="5"/>
  <c r="CQ60" i="5"/>
  <c r="CQ61" i="5"/>
  <c r="CQ62" i="5"/>
  <c r="CQ63" i="5"/>
  <c r="CQ64" i="5"/>
  <c r="CQ65" i="5"/>
  <c r="CQ66" i="5"/>
  <c r="CQ67" i="5"/>
  <c r="CQ68" i="5"/>
  <c r="CQ69" i="5"/>
  <c r="CQ70" i="5"/>
  <c r="CQ3" i="5"/>
  <c r="CJ71" i="5"/>
  <c r="CM71" i="5"/>
  <c r="CP71" i="5"/>
  <c r="CN4" i="5"/>
  <c r="CN5" i="5"/>
  <c r="CN6" i="5"/>
  <c r="CN7" i="5"/>
  <c r="CN8" i="5"/>
  <c r="CN9" i="5"/>
  <c r="CN10" i="5"/>
  <c r="CN11" i="5"/>
  <c r="CN12" i="5"/>
  <c r="CN13" i="5"/>
  <c r="CN14" i="5"/>
  <c r="CN15" i="5"/>
  <c r="CN16" i="5"/>
  <c r="CN17" i="5"/>
  <c r="CN18" i="5"/>
  <c r="CN19" i="5"/>
  <c r="CN20" i="5"/>
  <c r="CN21" i="5"/>
  <c r="CN22" i="5"/>
  <c r="CN23" i="5"/>
  <c r="CN24" i="5"/>
  <c r="CN25" i="5"/>
  <c r="CN26" i="5"/>
  <c r="CN27" i="5"/>
  <c r="CN28" i="5"/>
  <c r="CN29" i="5"/>
  <c r="CN30" i="5"/>
  <c r="CN31" i="5"/>
  <c r="CN32" i="5"/>
  <c r="CN33" i="5"/>
  <c r="CN34" i="5"/>
  <c r="CN35" i="5"/>
  <c r="CN36" i="5"/>
  <c r="CN37" i="5"/>
  <c r="CN38" i="5"/>
  <c r="CN39" i="5"/>
  <c r="CN40" i="5"/>
  <c r="CN41" i="5"/>
  <c r="CN42" i="5"/>
  <c r="CN43" i="5"/>
  <c r="CN44" i="5"/>
  <c r="CN45" i="5"/>
  <c r="CN46" i="5"/>
  <c r="CN47" i="5"/>
  <c r="CN48" i="5"/>
  <c r="CN49" i="5"/>
  <c r="CN50" i="5"/>
  <c r="CN51" i="5"/>
  <c r="CN52" i="5"/>
  <c r="CN53" i="5"/>
  <c r="CN54" i="5"/>
  <c r="CN55" i="5"/>
  <c r="CN56" i="5"/>
  <c r="CN57" i="5"/>
  <c r="CN58" i="5"/>
  <c r="CN59" i="5"/>
  <c r="CN60" i="5"/>
  <c r="CN61" i="5"/>
  <c r="CN62" i="5"/>
  <c r="CN63" i="5"/>
  <c r="CN64" i="5"/>
  <c r="CN65" i="5"/>
  <c r="CN66" i="5"/>
  <c r="CN67" i="5"/>
  <c r="CN68" i="5"/>
  <c r="CN69" i="5"/>
  <c r="CN70" i="5"/>
  <c r="CN3" i="5"/>
  <c r="CK4" i="5"/>
  <c r="CK5" i="5"/>
  <c r="CK6" i="5"/>
  <c r="CK7" i="5"/>
  <c r="CK8" i="5"/>
  <c r="CK9" i="5"/>
  <c r="CK10" i="5"/>
  <c r="CK11" i="5"/>
  <c r="CK12" i="5"/>
  <c r="CK13" i="5"/>
  <c r="CK14" i="5"/>
  <c r="CK15" i="5"/>
  <c r="CK16" i="5"/>
  <c r="CK17" i="5"/>
  <c r="CK18" i="5"/>
  <c r="CK19" i="5"/>
  <c r="CK20" i="5"/>
  <c r="CK21" i="5"/>
  <c r="CK22" i="5"/>
  <c r="CK23" i="5"/>
  <c r="CK24" i="5"/>
  <c r="CK25" i="5"/>
  <c r="CK26" i="5"/>
  <c r="CK27" i="5"/>
  <c r="CK28" i="5"/>
  <c r="CK29" i="5"/>
  <c r="CK30" i="5"/>
  <c r="CK31" i="5"/>
  <c r="CK32" i="5"/>
  <c r="CK33" i="5"/>
  <c r="CK34" i="5"/>
  <c r="CK35" i="5"/>
  <c r="CK36" i="5"/>
  <c r="CK37" i="5"/>
  <c r="CK38" i="5"/>
  <c r="CK39" i="5"/>
  <c r="CK40" i="5"/>
  <c r="CK41" i="5"/>
  <c r="CK42" i="5"/>
  <c r="CK43" i="5"/>
  <c r="CK44" i="5"/>
  <c r="CK45" i="5"/>
  <c r="CK46" i="5"/>
  <c r="CK47" i="5"/>
  <c r="CK48" i="5"/>
  <c r="CK49" i="5"/>
  <c r="CK50" i="5"/>
  <c r="CK51" i="5"/>
  <c r="CK52" i="5"/>
  <c r="CK53" i="5"/>
  <c r="CK54" i="5"/>
  <c r="CK55" i="5"/>
  <c r="CK56" i="5"/>
  <c r="CK57" i="5"/>
  <c r="CK58" i="5"/>
  <c r="CK59" i="5"/>
  <c r="CK60" i="5"/>
  <c r="CK61" i="5"/>
  <c r="CK62" i="5"/>
  <c r="CK63" i="5"/>
  <c r="CK64" i="5"/>
  <c r="CK65" i="5"/>
  <c r="CK66" i="5"/>
  <c r="CK67" i="5"/>
  <c r="CK68" i="5"/>
  <c r="CK69" i="5"/>
  <c r="CK70" i="5"/>
  <c r="CK3" i="5"/>
  <c r="CH4" i="5"/>
  <c r="CH5" i="5"/>
  <c r="CH6" i="5"/>
  <c r="CH7" i="5"/>
  <c r="CH8" i="5"/>
  <c r="CH9" i="5"/>
  <c r="CH10" i="5"/>
  <c r="CH11" i="5"/>
  <c r="CH12" i="5"/>
  <c r="CH13" i="5"/>
  <c r="CH14" i="5"/>
  <c r="CH15" i="5"/>
  <c r="CH16" i="5"/>
  <c r="CH17" i="5"/>
  <c r="CH18" i="5"/>
  <c r="CH19" i="5"/>
  <c r="CH20" i="5"/>
  <c r="CH21" i="5"/>
  <c r="CH22" i="5"/>
  <c r="CH23" i="5"/>
  <c r="CH24" i="5"/>
  <c r="CH25" i="5"/>
  <c r="CH26" i="5"/>
  <c r="CH27" i="5"/>
  <c r="CH28" i="5"/>
  <c r="CH29" i="5"/>
  <c r="CH30" i="5"/>
  <c r="CH31" i="5"/>
  <c r="CH32" i="5"/>
  <c r="CH33" i="5"/>
  <c r="CH34" i="5"/>
  <c r="CH35" i="5"/>
  <c r="CH36" i="5"/>
  <c r="CH37" i="5"/>
  <c r="CH38" i="5"/>
  <c r="CH39" i="5"/>
  <c r="CH40" i="5"/>
  <c r="CH41" i="5"/>
  <c r="CH42" i="5"/>
  <c r="CH43" i="5"/>
  <c r="CH44" i="5"/>
  <c r="CH45" i="5"/>
  <c r="CH46" i="5"/>
  <c r="CH47" i="5"/>
  <c r="CH48" i="5"/>
  <c r="CH49" i="5"/>
  <c r="CH50" i="5"/>
  <c r="CH51" i="5"/>
  <c r="CH52" i="5"/>
  <c r="CH53" i="5"/>
  <c r="CH54" i="5"/>
  <c r="CH55" i="5"/>
  <c r="CH56" i="5"/>
  <c r="CH57" i="5"/>
  <c r="CH58" i="5"/>
  <c r="CH59" i="5"/>
  <c r="CH60" i="5"/>
  <c r="CH61" i="5"/>
  <c r="CH62" i="5"/>
  <c r="CH63" i="5"/>
  <c r="CH64" i="5"/>
  <c r="CH65" i="5"/>
  <c r="CH66" i="5"/>
  <c r="CH67" i="5"/>
  <c r="CH68" i="5"/>
  <c r="CH69" i="5"/>
  <c r="CH70" i="5"/>
  <c r="CH3" i="5"/>
  <c r="CG71" i="5"/>
  <c r="CA4" i="5"/>
  <c r="CA5" i="5"/>
  <c r="CA6" i="5"/>
  <c r="CA7" i="5"/>
  <c r="CA8" i="5"/>
  <c r="CA9" i="5"/>
  <c r="CA10" i="5"/>
  <c r="CA11" i="5"/>
  <c r="CA12" i="5"/>
  <c r="CA13" i="5"/>
  <c r="CA14" i="5"/>
  <c r="CA15" i="5"/>
  <c r="CA16" i="5"/>
  <c r="CA17" i="5"/>
  <c r="CA18" i="5"/>
  <c r="CA19" i="5"/>
  <c r="CA20" i="5"/>
  <c r="CA21" i="5"/>
  <c r="CA22" i="5"/>
  <c r="CA23" i="5"/>
  <c r="CA24" i="5"/>
  <c r="CA25" i="5"/>
  <c r="CA26" i="5"/>
  <c r="CA27" i="5"/>
  <c r="CA28" i="5"/>
  <c r="CA29" i="5"/>
  <c r="CA30" i="5"/>
  <c r="CA31" i="5"/>
  <c r="CA32" i="5"/>
  <c r="CA33" i="5"/>
  <c r="CA34" i="5"/>
  <c r="CA35" i="5"/>
  <c r="CA36" i="5"/>
  <c r="CA37" i="5"/>
  <c r="CA38" i="5"/>
  <c r="CA39" i="5"/>
  <c r="CA40" i="5"/>
  <c r="CA41" i="5"/>
  <c r="CA42" i="5"/>
  <c r="CA43" i="5"/>
  <c r="CA44" i="5"/>
  <c r="CA45" i="5"/>
  <c r="CA46" i="5"/>
  <c r="CA47" i="5"/>
  <c r="CA48" i="5"/>
  <c r="CA49" i="5"/>
  <c r="CA50" i="5"/>
  <c r="CA51" i="5"/>
  <c r="CA52" i="5"/>
  <c r="CA53" i="5"/>
  <c r="CA54" i="5"/>
  <c r="CA3" i="5"/>
  <c r="BX4" i="5"/>
  <c r="BX5" i="5"/>
  <c r="BX6" i="5"/>
  <c r="BX7" i="5"/>
  <c r="BX8" i="5"/>
  <c r="BX9" i="5"/>
  <c r="BX10" i="5"/>
  <c r="BX11" i="5"/>
  <c r="BX12" i="5"/>
  <c r="BX13" i="5"/>
  <c r="BX14" i="5"/>
  <c r="BX15" i="5"/>
  <c r="BX16" i="5"/>
  <c r="BX17" i="5"/>
  <c r="BX18" i="5"/>
  <c r="BX19" i="5"/>
  <c r="BX20" i="5"/>
  <c r="BX21" i="5"/>
  <c r="BX22" i="5"/>
  <c r="BX23" i="5"/>
  <c r="BX24" i="5"/>
  <c r="BX25" i="5"/>
  <c r="BX26" i="5"/>
  <c r="BX27" i="5"/>
  <c r="BX28" i="5"/>
  <c r="BX29" i="5"/>
  <c r="BX30" i="5"/>
  <c r="BX31" i="5"/>
  <c r="BX32" i="5"/>
  <c r="BX33" i="5"/>
  <c r="BX34" i="5"/>
  <c r="BX35" i="5"/>
  <c r="BX36" i="5"/>
  <c r="BX37" i="5"/>
  <c r="BX38" i="5"/>
  <c r="BX39" i="5"/>
  <c r="BX40" i="5"/>
  <c r="BX41" i="5"/>
  <c r="BX42" i="5"/>
  <c r="BX43" i="5"/>
  <c r="BX44" i="5"/>
  <c r="BX45" i="5"/>
  <c r="BX46" i="5"/>
  <c r="BX47" i="5"/>
  <c r="BX48" i="5"/>
  <c r="BX49" i="5"/>
  <c r="BX50" i="5"/>
  <c r="BX51" i="5"/>
  <c r="BX52" i="5"/>
  <c r="BX53" i="5"/>
  <c r="BX54" i="5"/>
  <c r="BX3" i="5"/>
  <c r="BU4" i="5"/>
  <c r="BU5" i="5"/>
  <c r="BU6" i="5"/>
  <c r="BU7" i="5"/>
  <c r="BU8" i="5"/>
  <c r="BU9" i="5"/>
  <c r="BU10" i="5"/>
  <c r="BU11" i="5"/>
  <c r="BU12" i="5"/>
  <c r="BU13" i="5"/>
  <c r="BU14" i="5"/>
  <c r="BU15" i="5"/>
  <c r="BU16" i="5"/>
  <c r="BU17" i="5"/>
  <c r="BU18" i="5"/>
  <c r="BU19" i="5"/>
  <c r="BU20" i="5"/>
  <c r="BU21" i="5"/>
  <c r="BU22" i="5"/>
  <c r="BU23" i="5"/>
  <c r="BU24" i="5"/>
  <c r="BU25" i="5"/>
  <c r="BU26" i="5"/>
  <c r="BU27" i="5"/>
  <c r="BU28" i="5"/>
  <c r="BU29" i="5"/>
  <c r="BU30" i="5"/>
  <c r="BU31" i="5"/>
  <c r="BU32" i="5"/>
  <c r="BU33" i="5"/>
  <c r="BU34" i="5"/>
  <c r="BU35" i="5"/>
  <c r="BU36" i="5"/>
  <c r="BU37" i="5"/>
  <c r="BU38" i="5"/>
  <c r="BU39" i="5"/>
  <c r="BU40" i="5"/>
  <c r="BU41" i="5"/>
  <c r="BU42" i="5"/>
  <c r="BU43" i="5"/>
  <c r="BU44" i="5"/>
  <c r="BU45" i="5"/>
  <c r="BU46" i="5"/>
  <c r="BU47" i="5"/>
  <c r="BU48" i="5"/>
  <c r="BU49" i="5"/>
  <c r="BU50" i="5"/>
  <c r="BU51" i="5"/>
  <c r="BU52" i="5"/>
  <c r="BU53" i="5"/>
  <c r="BU54" i="5"/>
  <c r="BU3" i="5"/>
  <c r="BR7" i="5"/>
  <c r="BR33" i="5"/>
  <c r="BR34" i="5"/>
  <c r="BR35" i="5"/>
  <c r="BR36" i="5"/>
  <c r="BR8" i="5"/>
  <c r="BR37" i="5"/>
  <c r="BR9" i="5"/>
  <c r="BR38" i="5"/>
  <c r="BR10" i="5"/>
  <c r="BR11" i="5"/>
  <c r="BR12" i="5"/>
  <c r="BR13" i="5"/>
  <c r="BR14" i="5"/>
  <c r="BR15" i="5"/>
  <c r="BR39" i="5"/>
  <c r="BR40" i="5"/>
  <c r="BR41" i="5"/>
  <c r="BR42" i="5"/>
  <c r="BR16" i="5"/>
  <c r="BR17" i="5"/>
  <c r="BR18" i="5"/>
  <c r="BR51" i="5"/>
  <c r="BR19" i="5"/>
  <c r="BR20" i="5"/>
  <c r="BR21" i="5"/>
  <c r="BR43" i="5"/>
  <c r="BR22" i="5"/>
  <c r="BR23" i="5"/>
  <c r="BR24" i="5"/>
  <c r="BR44" i="5"/>
  <c r="BR25" i="5"/>
  <c r="BR26" i="5"/>
  <c r="BR3" i="5"/>
  <c r="BR27" i="5"/>
  <c r="BR28" i="5"/>
  <c r="BR45" i="5"/>
  <c r="BR46" i="5"/>
  <c r="BR52" i="5"/>
  <c r="BR29" i="5"/>
  <c r="BR4" i="5"/>
  <c r="BR50" i="5"/>
  <c r="BR47" i="5"/>
  <c r="BR30" i="5"/>
  <c r="BR32" i="5"/>
  <c r="BR53" i="5"/>
  <c r="BR54" i="5"/>
  <c r="BR31" i="5"/>
  <c r="BR48" i="5"/>
  <c r="BR49" i="5"/>
  <c r="BR5" i="5"/>
  <c r="BR6" i="5"/>
  <c r="BT55" i="5"/>
  <c r="BW55" i="5"/>
  <c r="BZ55" i="5"/>
  <c r="BQ55" i="5"/>
  <c r="BD66" i="5"/>
  <c r="BG66" i="5"/>
  <c r="BJ66" i="5"/>
  <c r="BK4" i="5"/>
  <c r="BK5" i="5"/>
  <c r="BK6" i="5"/>
  <c r="BK7" i="5"/>
  <c r="BK8" i="5"/>
  <c r="BK9" i="5"/>
  <c r="BK10" i="5"/>
  <c r="BK11" i="5"/>
  <c r="BK12" i="5"/>
  <c r="BK13" i="5"/>
  <c r="BK14" i="5"/>
  <c r="BK15" i="5"/>
  <c r="BK16" i="5"/>
  <c r="BK17" i="5"/>
  <c r="BK18" i="5"/>
  <c r="BK19" i="5"/>
  <c r="BK20" i="5"/>
  <c r="BK21" i="5"/>
  <c r="BK22" i="5"/>
  <c r="BK23" i="5"/>
  <c r="BK24" i="5"/>
  <c r="BK25" i="5"/>
  <c r="BK26" i="5"/>
  <c r="BK27" i="5"/>
  <c r="BK28" i="5"/>
  <c r="BK29" i="5"/>
  <c r="BK30" i="5"/>
  <c r="BK31" i="5"/>
  <c r="BK32" i="5"/>
  <c r="BK33" i="5"/>
  <c r="BK34" i="5"/>
  <c r="BK35" i="5"/>
  <c r="BK36" i="5"/>
  <c r="BK37" i="5"/>
  <c r="BK38" i="5"/>
  <c r="BK39" i="5"/>
  <c r="BK40" i="5"/>
  <c r="BK41" i="5"/>
  <c r="BK42" i="5"/>
  <c r="BK43" i="5"/>
  <c r="BK44" i="5"/>
  <c r="BK45" i="5"/>
  <c r="BK46" i="5"/>
  <c r="BK47" i="5"/>
  <c r="BK48" i="5"/>
  <c r="BK49" i="5"/>
  <c r="BK50" i="5"/>
  <c r="BK51" i="5"/>
  <c r="BK52" i="5"/>
  <c r="BK53" i="5"/>
  <c r="BK54" i="5"/>
  <c r="BK55" i="5"/>
  <c r="BK56" i="5"/>
  <c r="BK57" i="5"/>
  <c r="BK58" i="5"/>
  <c r="BK59" i="5"/>
  <c r="BK60" i="5"/>
  <c r="BK61" i="5"/>
  <c r="BK62" i="5"/>
  <c r="BK63" i="5"/>
  <c r="BK64" i="5"/>
  <c r="BK65" i="5"/>
  <c r="BK3" i="5"/>
  <c r="BH4" i="5"/>
  <c r="BH5" i="5"/>
  <c r="BH6" i="5"/>
  <c r="BH7" i="5"/>
  <c r="BH8" i="5"/>
  <c r="BH9" i="5"/>
  <c r="BH10" i="5"/>
  <c r="BH11" i="5"/>
  <c r="BH12" i="5"/>
  <c r="BH13" i="5"/>
  <c r="BH14" i="5"/>
  <c r="BH15" i="5"/>
  <c r="BH16" i="5"/>
  <c r="BH17" i="5"/>
  <c r="BH18" i="5"/>
  <c r="BH19" i="5"/>
  <c r="BH20" i="5"/>
  <c r="BH21" i="5"/>
  <c r="BH22" i="5"/>
  <c r="BH23" i="5"/>
  <c r="BH24" i="5"/>
  <c r="BH25" i="5"/>
  <c r="BH26" i="5"/>
  <c r="BH27" i="5"/>
  <c r="BH28" i="5"/>
  <c r="BH29" i="5"/>
  <c r="BH30" i="5"/>
  <c r="BH31" i="5"/>
  <c r="BH32" i="5"/>
  <c r="BH33" i="5"/>
  <c r="BH34" i="5"/>
  <c r="BH35" i="5"/>
  <c r="BH36" i="5"/>
  <c r="BH37" i="5"/>
  <c r="BH38" i="5"/>
  <c r="BH39" i="5"/>
  <c r="BH40" i="5"/>
  <c r="BH41" i="5"/>
  <c r="BH42" i="5"/>
  <c r="BH43" i="5"/>
  <c r="BH44" i="5"/>
  <c r="BH45" i="5"/>
  <c r="BH46" i="5"/>
  <c r="BH47" i="5"/>
  <c r="BH48" i="5"/>
  <c r="BH49" i="5"/>
  <c r="BH50" i="5"/>
  <c r="BH51" i="5"/>
  <c r="BH52" i="5"/>
  <c r="BH53" i="5"/>
  <c r="BH54" i="5"/>
  <c r="BH55" i="5"/>
  <c r="BH56" i="5"/>
  <c r="BH57" i="5"/>
  <c r="BH58" i="5"/>
  <c r="BH59" i="5"/>
  <c r="BH60" i="5"/>
  <c r="BH61" i="5"/>
  <c r="BH62" i="5"/>
  <c r="BH63" i="5"/>
  <c r="BH64" i="5"/>
  <c r="BH65" i="5"/>
  <c r="BH3" i="5"/>
  <c r="BE4" i="5"/>
  <c r="BE5" i="5"/>
  <c r="BE6" i="5"/>
  <c r="BE7" i="5"/>
  <c r="BE8" i="5"/>
  <c r="BE9" i="5"/>
  <c r="BE10" i="5"/>
  <c r="BE11" i="5"/>
  <c r="BE12" i="5"/>
  <c r="BE13" i="5"/>
  <c r="BE14" i="5"/>
  <c r="BE15" i="5"/>
  <c r="BE16" i="5"/>
  <c r="BE17" i="5"/>
  <c r="BE18" i="5"/>
  <c r="BE19" i="5"/>
  <c r="BE20" i="5"/>
  <c r="BE21" i="5"/>
  <c r="BE22" i="5"/>
  <c r="BE23" i="5"/>
  <c r="BE24" i="5"/>
  <c r="BE25" i="5"/>
  <c r="BE26" i="5"/>
  <c r="BE27" i="5"/>
  <c r="BE28" i="5"/>
  <c r="BE29" i="5"/>
  <c r="BE30" i="5"/>
  <c r="BE31" i="5"/>
  <c r="BE32" i="5"/>
  <c r="BE33" i="5"/>
  <c r="BE34" i="5"/>
  <c r="BE35" i="5"/>
  <c r="BE36" i="5"/>
  <c r="BE37" i="5"/>
  <c r="BE38" i="5"/>
  <c r="BE39" i="5"/>
  <c r="BE40" i="5"/>
  <c r="BE41" i="5"/>
  <c r="BE42" i="5"/>
  <c r="BE43" i="5"/>
  <c r="BE44" i="5"/>
  <c r="BE45" i="5"/>
  <c r="BE46" i="5"/>
  <c r="BE47" i="5"/>
  <c r="BE48" i="5"/>
  <c r="BE49" i="5"/>
  <c r="BE50" i="5"/>
  <c r="BE51" i="5"/>
  <c r="BE52" i="5"/>
  <c r="BE53" i="5"/>
  <c r="BE54" i="5"/>
  <c r="BE55" i="5"/>
  <c r="BE56" i="5"/>
  <c r="BE57" i="5"/>
  <c r="BE58" i="5"/>
  <c r="BE59" i="5"/>
  <c r="BE60" i="5"/>
  <c r="BE61" i="5"/>
  <c r="BE62" i="5"/>
  <c r="BE63" i="5"/>
  <c r="BE64" i="5"/>
  <c r="BE65" i="5"/>
  <c r="BE3" i="5"/>
  <c r="BB4" i="5"/>
  <c r="BB5" i="5"/>
  <c r="BB6" i="5"/>
  <c r="BB7" i="5"/>
  <c r="BB8" i="5"/>
  <c r="BB9" i="5"/>
  <c r="BB10" i="5"/>
  <c r="BB11" i="5"/>
  <c r="BB12" i="5"/>
  <c r="BB13" i="5"/>
  <c r="BB14" i="5"/>
  <c r="BB15" i="5"/>
  <c r="BB16" i="5"/>
  <c r="BB17" i="5"/>
  <c r="BB18" i="5"/>
  <c r="BB19" i="5"/>
  <c r="BB20" i="5"/>
  <c r="BB21" i="5"/>
  <c r="BB22" i="5"/>
  <c r="BB23" i="5"/>
  <c r="BB24" i="5"/>
  <c r="BB25" i="5"/>
  <c r="BB26" i="5"/>
  <c r="BB27" i="5"/>
  <c r="BB28" i="5"/>
  <c r="BB29" i="5"/>
  <c r="BB30" i="5"/>
  <c r="BB31" i="5"/>
  <c r="BB32" i="5"/>
  <c r="BB33" i="5"/>
  <c r="BB34" i="5"/>
  <c r="BB35" i="5"/>
  <c r="BB36" i="5"/>
  <c r="BB37" i="5"/>
  <c r="BB38" i="5"/>
  <c r="BB39" i="5"/>
  <c r="BB40" i="5"/>
  <c r="BB41" i="5"/>
  <c r="BB42" i="5"/>
  <c r="BB43" i="5"/>
  <c r="BB44" i="5"/>
  <c r="BB45" i="5"/>
  <c r="BB46" i="5"/>
  <c r="BB47" i="5"/>
  <c r="BB48" i="5"/>
  <c r="BB49" i="5"/>
  <c r="BB50" i="5"/>
  <c r="BB51" i="5"/>
  <c r="BB52" i="5"/>
  <c r="BB53" i="5"/>
  <c r="BB54" i="5"/>
  <c r="BB55" i="5"/>
  <c r="BB56" i="5"/>
  <c r="BB57" i="5"/>
  <c r="BB58" i="5"/>
  <c r="BB59" i="5"/>
  <c r="BB60" i="5"/>
  <c r="BB61" i="5"/>
  <c r="BB62" i="5"/>
  <c r="BB63" i="5"/>
  <c r="BB64" i="5"/>
  <c r="BB65" i="5"/>
  <c r="BB3" i="5"/>
  <c r="BA66" i="5"/>
  <c r="AO4" i="5"/>
  <c r="AO5" i="5"/>
  <c r="AO6" i="5"/>
  <c r="AO7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3" i="5"/>
  <c r="AL4" i="5"/>
  <c r="AL5" i="5"/>
  <c r="AL6" i="5"/>
  <c r="AL7" i="5"/>
  <c r="AL8" i="5"/>
  <c r="AL9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3" i="5"/>
  <c r="AI4" i="5"/>
  <c r="AI5" i="5"/>
  <c r="AI6" i="5"/>
  <c r="AI7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1" i="5"/>
  <c r="AI22" i="5"/>
  <c r="AI23" i="5"/>
  <c r="AI24" i="5"/>
  <c r="AI25" i="5"/>
  <c r="AI26" i="5"/>
  <c r="AI27" i="5"/>
  <c r="AI28" i="5"/>
  <c r="AI29" i="5"/>
  <c r="AI30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43" i="5"/>
  <c r="AI44" i="5"/>
  <c r="AI45" i="5"/>
  <c r="AI46" i="5"/>
  <c r="AI47" i="5"/>
  <c r="AI48" i="5"/>
  <c r="AI49" i="5"/>
  <c r="AI3" i="5"/>
  <c r="AF7" i="5"/>
  <c r="AF33" i="5"/>
  <c r="AF34" i="5"/>
  <c r="AF8" i="5"/>
  <c r="AF9" i="5"/>
  <c r="AF10" i="5"/>
  <c r="AF35" i="5"/>
  <c r="AF11" i="5"/>
  <c r="AF12" i="5"/>
  <c r="AF13" i="5"/>
  <c r="AF36" i="5"/>
  <c r="AF48" i="5"/>
  <c r="AF14" i="5"/>
  <c r="AF15" i="5"/>
  <c r="AF16" i="5"/>
  <c r="AF37" i="5"/>
  <c r="AF38" i="5"/>
  <c r="AF17" i="5"/>
  <c r="AF18" i="5"/>
  <c r="AF39" i="5"/>
  <c r="AF4" i="5"/>
  <c r="AF19" i="5"/>
  <c r="AF20" i="5"/>
  <c r="AF21" i="5"/>
  <c r="AF40" i="5"/>
  <c r="AF41" i="5"/>
  <c r="AF22" i="5"/>
  <c r="AF23" i="5"/>
  <c r="AF24" i="5"/>
  <c r="AF25" i="5"/>
  <c r="AF42" i="5"/>
  <c r="AF43" i="5"/>
  <c r="AF5" i="5"/>
  <c r="AF44" i="5"/>
  <c r="AF49" i="5"/>
  <c r="AF3" i="5"/>
  <c r="AF26" i="5"/>
  <c r="AF45" i="5"/>
  <c r="AF46" i="5"/>
  <c r="AF27" i="5"/>
  <c r="AF28" i="5"/>
  <c r="AF29" i="5"/>
  <c r="AF47" i="5"/>
  <c r="AF30" i="5"/>
  <c r="AF31" i="5"/>
  <c r="AF32" i="5"/>
  <c r="AF6" i="5"/>
  <c r="AH50" i="5"/>
  <c r="AK50" i="5"/>
  <c r="AN50" i="5"/>
  <c r="AO50" i="5" s="1"/>
  <c r="AE50" i="5"/>
  <c r="R52" i="5"/>
  <c r="U52" i="5"/>
  <c r="X52" i="5"/>
  <c r="Y4" i="5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3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3" i="5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3" i="5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3" i="5"/>
  <c r="O52" i="5"/>
  <c r="ER9" i="6"/>
  <c r="ER10" i="6"/>
  <c r="ER11" i="6"/>
  <c r="ER12" i="6"/>
  <c r="ER13" i="6"/>
  <c r="ER14" i="6"/>
  <c r="ER15" i="6"/>
  <c r="ER16" i="6"/>
  <c r="ER17" i="6"/>
  <c r="ER18" i="6"/>
  <c r="ER19" i="6"/>
  <c r="ER20" i="6"/>
  <c r="ER21" i="6"/>
  <c r="ER22" i="6"/>
  <c r="ER23" i="6"/>
  <c r="ER24" i="6"/>
  <c r="ER25" i="6"/>
  <c r="ER26" i="6"/>
  <c r="ER27" i="6"/>
  <c r="ER28" i="6"/>
  <c r="ER29" i="6"/>
  <c r="ER30" i="6"/>
  <c r="ER31" i="6"/>
  <c r="ER32" i="6"/>
  <c r="ER33" i="6"/>
  <c r="ER34" i="6"/>
  <c r="ER35" i="6"/>
  <c r="ER36" i="6"/>
  <c r="ER37" i="6"/>
  <c r="ER38" i="6"/>
  <c r="ER40" i="6"/>
  <c r="ER41" i="6"/>
  <c r="ER42" i="6"/>
  <c r="ER43" i="6"/>
  <c r="ER44" i="6"/>
  <c r="ER45" i="6"/>
  <c r="ER46" i="6"/>
  <c r="ER47" i="6"/>
  <c r="ER48" i="6"/>
  <c r="ER49" i="6"/>
  <c r="ER50" i="6"/>
  <c r="ER39" i="6"/>
  <c r="ER51" i="6"/>
  <c r="ER52" i="6"/>
  <c r="ER53" i="6"/>
  <c r="ER54" i="6"/>
  <c r="ER55" i="6"/>
  <c r="ER56" i="6"/>
  <c r="ER57" i="6"/>
  <c r="ER8" i="6"/>
  <c r="EO9" i="6"/>
  <c r="EO10" i="6"/>
  <c r="EO11" i="6"/>
  <c r="EO12" i="6"/>
  <c r="EO13" i="6"/>
  <c r="EO14" i="6"/>
  <c r="EO15" i="6"/>
  <c r="EO16" i="6"/>
  <c r="EO17" i="6"/>
  <c r="EO18" i="6"/>
  <c r="EO19" i="6"/>
  <c r="EO20" i="6"/>
  <c r="EO21" i="6"/>
  <c r="EO22" i="6"/>
  <c r="EO23" i="6"/>
  <c r="EO24" i="6"/>
  <c r="EO25" i="6"/>
  <c r="EO26" i="6"/>
  <c r="EO27" i="6"/>
  <c r="EO28" i="6"/>
  <c r="EO29" i="6"/>
  <c r="EO30" i="6"/>
  <c r="EO31" i="6"/>
  <c r="EO32" i="6"/>
  <c r="EO33" i="6"/>
  <c r="EO34" i="6"/>
  <c r="EO35" i="6"/>
  <c r="EO36" i="6"/>
  <c r="EO37" i="6"/>
  <c r="EO38" i="6"/>
  <c r="EO40" i="6"/>
  <c r="EO41" i="6"/>
  <c r="EO42" i="6"/>
  <c r="EO43" i="6"/>
  <c r="EO44" i="6"/>
  <c r="EO45" i="6"/>
  <c r="EO46" i="6"/>
  <c r="EO47" i="6"/>
  <c r="EO48" i="6"/>
  <c r="EO49" i="6"/>
  <c r="EO50" i="6"/>
  <c r="EO39" i="6"/>
  <c r="EO51" i="6"/>
  <c r="EO52" i="6"/>
  <c r="EO53" i="6"/>
  <c r="EO54" i="6"/>
  <c r="EO55" i="6"/>
  <c r="EO56" i="6"/>
  <c r="EO57" i="6"/>
  <c r="EO8" i="6"/>
  <c r="EL9" i="6"/>
  <c r="EL10" i="6"/>
  <c r="EL11" i="6"/>
  <c r="EL12" i="6"/>
  <c r="EL13" i="6"/>
  <c r="EL14" i="6"/>
  <c r="EL15" i="6"/>
  <c r="EL16" i="6"/>
  <c r="EL17" i="6"/>
  <c r="EL18" i="6"/>
  <c r="EL19" i="6"/>
  <c r="EL20" i="6"/>
  <c r="EL21" i="6"/>
  <c r="EL22" i="6"/>
  <c r="EL23" i="6"/>
  <c r="EL24" i="6"/>
  <c r="EL25" i="6"/>
  <c r="EL26" i="6"/>
  <c r="EL27" i="6"/>
  <c r="EL28" i="6"/>
  <c r="EL29" i="6"/>
  <c r="EL30" i="6"/>
  <c r="EL31" i="6"/>
  <c r="EL32" i="6"/>
  <c r="EL33" i="6"/>
  <c r="EL34" i="6"/>
  <c r="EL35" i="6"/>
  <c r="EL36" i="6"/>
  <c r="EL37" i="6"/>
  <c r="EL38" i="6"/>
  <c r="EL40" i="6"/>
  <c r="EL41" i="6"/>
  <c r="EL42" i="6"/>
  <c r="EL43" i="6"/>
  <c r="EL44" i="6"/>
  <c r="EL45" i="6"/>
  <c r="EL46" i="6"/>
  <c r="EL47" i="6"/>
  <c r="EL48" i="6"/>
  <c r="EL49" i="6"/>
  <c r="EL50" i="6"/>
  <c r="EL39" i="6"/>
  <c r="EL51" i="6"/>
  <c r="EL52" i="6"/>
  <c r="EL53" i="6"/>
  <c r="EL54" i="6"/>
  <c r="EL55" i="6"/>
  <c r="EL56" i="6"/>
  <c r="EL57" i="6"/>
  <c r="EL8" i="6"/>
  <c r="EI9" i="6"/>
  <c r="EI10" i="6"/>
  <c r="EI11" i="6"/>
  <c r="EI12" i="6"/>
  <c r="EI13" i="6"/>
  <c r="EI14" i="6"/>
  <c r="EI15" i="6"/>
  <c r="EI16" i="6"/>
  <c r="EI17" i="6"/>
  <c r="EI18" i="6"/>
  <c r="EI19" i="6"/>
  <c r="EI20" i="6"/>
  <c r="EI21" i="6"/>
  <c r="EI22" i="6"/>
  <c r="EI23" i="6"/>
  <c r="EI24" i="6"/>
  <c r="EI25" i="6"/>
  <c r="EI26" i="6"/>
  <c r="EI27" i="6"/>
  <c r="EI28" i="6"/>
  <c r="EI29" i="6"/>
  <c r="EI30" i="6"/>
  <c r="EI31" i="6"/>
  <c r="EI32" i="6"/>
  <c r="EI33" i="6"/>
  <c r="EI34" i="6"/>
  <c r="EI35" i="6"/>
  <c r="EI36" i="6"/>
  <c r="EI37" i="6"/>
  <c r="EI38" i="6"/>
  <c r="EI40" i="6"/>
  <c r="EI41" i="6"/>
  <c r="EI42" i="6"/>
  <c r="EI43" i="6"/>
  <c r="EI44" i="6"/>
  <c r="EI45" i="6"/>
  <c r="EI46" i="6"/>
  <c r="EI47" i="6"/>
  <c r="EI48" i="6"/>
  <c r="EI49" i="6"/>
  <c r="EI50" i="6"/>
  <c r="EI39" i="6"/>
  <c r="EI51" i="6"/>
  <c r="EI52" i="6"/>
  <c r="EI53" i="6"/>
  <c r="EI54" i="6"/>
  <c r="EI55" i="6"/>
  <c r="EI56" i="6"/>
  <c r="EI57" i="6"/>
  <c r="EI8" i="6"/>
  <c r="EK58" i="6"/>
  <c r="EN58" i="6"/>
  <c r="EQ58" i="6"/>
  <c r="EH58" i="6"/>
  <c r="EB9" i="6"/>
  <c r="EB10" i="6"/>
  <c r="EB11" i="6"/>
  <c r="EB12" i="6"/>
  <c r="EB13" i="6"/>
  <c r="EB14" i="6"/>
  <c r="EB15" i="6"/>
  <c r="EB16" i="6"/>
  <c r="EB17" i="6"/>
  <c r="EB18" i="6"/>
  <c r="EB19" i="6"/>
  <c r="EB20" i="6"/>
  <c r="EB21" i="6"/>
  <c r="EB22" i="6"/>
  <c r="EB23" i="6"/>
  <c r="EB24" i="6"/>
  <c r="EB25" i="6"/>
  <c r="EB26" i="6"/>
  <c r="EB27" i="6"/>
  <c r="EB28" i="6"/>
  <c r="EB29" i="6"/>
  <c r="EB30" i="6"/>
  <c r="EB31" i="6"/>
  <c r="EB32" i="6"/>
  <c r="EB33" i="6"/>
  <c r="EB34" i="6"/>
  <c r="EB35" i="6"/>
  <c r="EB36" i="6"/>
  <c r="EB37" i="6"/>
  <c r="EB38" i="6"/>
  <c r="EB39" i="6"/>
  <c r="EB40" i="6"/>
  <c r="EB41" i="6"/>
  <c r="EB42" i="6"/>
  <c r="EB43" i="6"/>
  <c r="EB44" i="6"/>
  <c r="EB45" i="6"/>
  <c r="EB46" i="6"/>
  <c r="EB47" i="6"/>
  <c r="EB48" i="6"/>
  <c r="EB49" i="6"/>
  <c r="EB50" i="6"/>
  <c r="EB51" i="6"/>
  <c r="EB52" i="6"/>
  <c r="EB53" i="6"/>
  <c r="EB54" i="6"/>
  <c r="EB55" i="6"/>
  <c r="EB56" i="6"/>
  <c r="EB8" i="6"/>
  <c r="DY9" i="6"/>
  <c r="DY10" i="6"/>
  <c r="DY11" i="6"/>
  <c r="DY12" i="6"/>
  <c r="DY13" i="6"/>
  <c r="DY14" i="6"/>
  <c r="DY15" i="6"/>
  <c r="DY16" i="6"/>
  <c r="DY17" i="6"/>
  <c r="DY18" i="6"/>
  <c r="DY19" i="6"/>
  <c r="DY20" i="6"/>
  <c r="DY21" i="6"/>
  <c r="DY22" i="6"/>
  <c r="DY23" i="6"/>
  <c r="DY24" i="6"/>
  <c r="DY25" i="6"/>
  <c r="DY26" i="6"/>
  <c r="DY27" i="6"/>
  <c r="DY28" i="6"/>
  <c r="DY29" i="6"/>
  <c r="DY30" i="6"/>
  <c r="DY31" i="6"/>
  <c r="DY32" i="6"/>
  <c r="DY33" i="6"/>
  <c r="DY34" i="6"/>
  <c r="DY35" i="6"/>
  <c r="DY36" i="6"/>
  <c r="DY37" i="6"/>
  <c r="DY38" i="6"/>
  <c r="DY39" i="6"/>
  <c r="DY40" i="6"/>
  <c r="DY41" i="6"/>
  <c r="DY42" i="6"/>
  <c r="DY43" i="6"/>
  <c r="DY44" i="6"/>
  <c r="DY45" i="6"/>
  <c r="DY46" i="6"/>
  <c r="DY47" i="6"/>
  <c r="DY48" i="6"/>
  <c r="DY49" i="6"/>
  <c r="DY50" i="6"/>
  <c r="DY51" i="6"/>
  <c r="DY52" i="6"/>
  <c r="DY53" i="6"/>
  <c r="DY54" i="6"/>
  <c r="DY55" i="6"/>
  <c r="DY56" i="6"/>
  <c r="DY8" i="6"/>
  <c r="DV9" i="6"/>
  <c r="DV10" i="6"/>
  <c r="DV11" i="6"/>
  <c r="DV12" i="6"/>
  <c r="DV13" i="6"/>
  <c r="DV14" i="6"/>
  <c r="DV15" i="6"/>
  <c r="DV16" i="6"/>
  <c r="DV17" i="6"/>
  <c r="DV18" i="6"/>
  <c r="DV19" i="6"/>
  <c r="DV20" i="6"/>
  <c r="DV21" i="6"/>
  <c r="DV22" i="6"/>
  <c r="DV23" i="6"/>
  <c r="DV24" i="6"/>
  <c r="DV25" i="6"/>
  <c r="DV26" i="6"/>
  <c r="DV27" i="6"/>
  <c r="DV28" i="6"/>
  <c r="DV29" i="6"/>
  <c r="DV30" i="6"/>
  <c r="DV31" i="6"/>
  <c r="DV32" i="6"/>
  <c r="DV33" i="6"/>
  <c r="DV34" i="6"/>
  <c r="DV35" i="6"/>
  <c r="DV36" i="6"/>
  <c r="DV37" i="6"/>
  <c r="DV38" i="6"/>
  <c r="DV39" i="6"/>
  <c r="DV40" i="6"/>
  <c r="DV41" i="6"/>
  <c r="DV42" i="6"/>
  <c r="DV43" i="6"/>
  <c r="DV44" i="6"/>
  <c r="DV45" i="6"/>
  <c r="DV46" i="6"/>
  <c r="DV47" i="6"/>
  <c r="DV48" i="6"/>
  <c r="DV49" i="6"/>
  <c r="DV50" i="6"/>
  <c r="DV51" i="6"/>
  <c r="DV52" i="6"/>
  <c r="DV53" i="6"/>
  <c r="DV54" i="6"/>
  <c r="DV55" i="6"/>
  <c r="DV56" i="6"/>
  <c r="DV8" i="6"/>
  <c r="DS9" i="6"/>
  <c r="DS10" i="6"/>
  <c r="DS11" i="6"/>
  <c r="DS12" i="6"/>
  <c r="DS13" i="6"/>
  <c r="DS14" i="6"/>
  <c r="DS15" i="6"/>
  <c r="DS16" i="6"/>
  <c r="DS17" i="6"/>
  <c r="DS18" i="6"/>
  <c r="DS19" i="6"/>
  <c r="DS20" i="6"/>
  <c r="DS21" i="6"/>
  <c r="DS22" i="6"/>
  <c r="DS23" i="6"/>
  <c r="DS24" i="6"/>
  <c r="DS25" i="6"/>
  <c r="DS26" i="6"/>
  <c r="DS27" i="6"/>
  <c r="DS28" i="6"/>
  <c r="DS29" i="6"/>
  <c r="DS30" i="6"/>
  <c r="DS31" i="6"/>
  <c r="DS32" i="6"/>
  <c r="DS33" i="6"/>
  <c r="DS34" i="6"/>
  <c r="DS35" i="6"/>
  <c r="DS36" i="6"/>
  <c r="DS37" i="6"/>
  <c r="DS38" i="6"/>
  <c r="DS39" i="6"/>
  <c r="DS40" i="6"/>
  <c r="DS41" i="6"/>
  <c r="DS42" i="6"/>
  <c r="DS43" i="6"/>
  <c r="DS44" i="6"/>
  <c r="DS45" i="6"/>
  <c r="DS46" i="6"/>
  <c r="DS47" i="6"/>
  <c r="DS48" i="6"/>
  <c r="DS49" i="6"/>
  <c r="DS50" i="6"/>
  <c r="DS51" i="6"/>
  <c r="DS52" i="6"/>
  <c r="DS53" i="6"/>
  <c r="DS54" i="6"/>
  <c r="DS55" i="6"/>
  <c r="DS56" i="6"/>
  <c r="DS8" i="6"/>
  <c r="DU57" i="6"/>
  <c r="DX57" i="6"/>
  <c r="EA57" i="6"/>
  <c r="EB57" i="6" s="1"/>
  <c r="DR57" i="6"/>
  <c r="DL9" i="6"/>
  <c r="DL10" i="6"/>
  <c r="DL11" i="6"/>
  <c r="DL12" i="6"/>
  <c r="DL13" i="6"/>
  <c r="DL14" i="6"/>
  <c r="DL15" i="6"/>
  <c r="DL16" i="6"/>
  <c r="DL17" i="6"/>
  <c r="DL18" i="6"/>
  <c r="DL19" i="6"/>
  <c r="DL20" i="6"/>
  <c r="DL21" i="6"/>
  <c r="DL22" i="6"/>
  <c r="DL23" i="6"/>
  <c r="DL24" i="6"/>
  <c r="DL25" i="6"/>
  <c r="DL26" i="6"/>
  <c r="DL27" i="6"/>
  <c r="DL28" i="6"/>
  <c r="DL29" i="6"/>
  <c r="DL30" i="6"/>
  <c r="DL31" i="6"/>
  <c r="DL32" i="6"/>
  <c r="DL33" i="6"/>
  <c r="DL34" i="6"/>
  <c r="DL35" i="6"/>
  <c r="DL36" i="6"/>
  <c r="DL37" i="6"/>
  <c r="DL38" i="6"/>
  <c r="DL39" i="6"/>
  <c r="DL40" i="6"/>
  <c r="DL41" i="6"/>
  <c r="DL42" i="6"/>
  <c r="DL43" i="6"/>
  <c r="DL44" i="6"/>
  <c r="DL45" i="6"/>
  <c r="DL46" i="6"/>
  <c r="DL47" i="6"/>
  <c r="DL48" i="6"/>
  <c r="DL49" i="6"/>
  <c r="DL50" i="6"/>
  <c r="DL51" i="6"/>
  <c r="DL52" i="6"/>
  <c r="DL53" i="6"/>
  <c r="DL54" i="6"/>
  <c r="DL55" i="6"/>
  <c r="DL8" i="6"/>
  <c r="DI9" i="6"/>
  <c r="DI10" i="6"/>
  <c r="DI11" i="6"/>
  <c r="DI12" i="6"/>
  <c r="DI13" i="6"/>
  <c r="DI14" i="6"/>
  <c r="DI15" i="6"/>
  <c r="DI16" i="6"/>
  <c r="DI17" i="6"/>
  <c r="DI18" i="6"/>
  <c r="DI19" i="6"/>
  <c r="DI20" i="6"/>
  <c r="DI21" i="6"/>
  <c r="DI22" i="6"/>
  <c r="DI23" i="6"/>
  <c r="DI24" i="6"/>
  <c r="DI25" i="6"/>
  <c r="DI26" i="6"/>
  <c r="DI27" i="6"/>
  <c r="DI28" i="6"/>
  <c r="DI29" i="6"/>
  <c r="DI30" i="6"/>
  <c r="DI31" i="6"/>
  <c r="DI32" i="6"/>
  <c r="DI33" i="6"/>
  <c r="DI34" i="6"/>
  <c r="DI35" i="6"/>
  <c r="DI36" i="6"/>
  <c r="DI37" i="6"/>
  <c r="DI38" i="6"/>
  <c r="DI39" i="6"/>
  <c r="DI40" i="6"/>
  <c r="DI41" i="6"/>
  <c r="DI42" i="6"/>
  <c r="DI43" i="6"/>
  <c r="DI44" i="6"/>
  <c r="DI45" i="6"/>
  <c r="DI46" i="6"/>
  <c r="DI47" i="6"/>
  <c r="DI48" i="6"/>
  <c r="DI49" i="6"/>
  <c r="DI50" i="6"/>
  <c r="DI51" i="6"/>
  <c r="DI52" i="6"/>
  <c r="DI53" i="6"/>
  <c r="DI54" i="6"/>
  <c r="DI55" i="6"/>
  <c r="DI8" i="6"/>
  <c r="DF9" i="6"/>
  <c r="DF10" i="6"/>
  <c r="DF11" i="6"/>
  <c r="DF12" i="6"/>
  <c r="DF13" i="6"/>
  <c r="DF14" i="6"/>
  <c r="DF15" i="6"/>
  <c r="DF16" i="6"/>
  <c r="DF17" i="6"/>
  <c r="DF18" i="6"/>
  <c r="DF19" i="6"/>
  <c r="DF20" i="6"/>
  <c r="DF21" i="6"/>
  <c r="DF22" i="6"/>
  <c r="DF23" i="6"/>
  <c r="DF24" i="6"/>
  <c r="DF25" i="6"/>
  <c r="DF26" i="6"/>
  <c r="DF27" i="6"/>
  <c r="DF28" i="6"/>
  <c r="DF29" i="6"/>
  <c r="DF30" i="6"/>
  <c r="DF31" i="6"/>
  <c r="DF32" i="6"/>
  <c r="DF33" i="6"/>
  <c r="DF34" i="6"/>
  <c r="DF35" i="6"/>
  <c r="DF36" i="6"/>
  <c r="DF37" i="6"/>
  <c r="DF38" i="6"/>
  <c r="DF39" i="6"/>
  <c r="DF40" i="6"/>
  <c r="DF41" i="6"/>
  <c r="DF42" i="6"/>
  <c r="DF43" i="6"/>
  <c r="DF44" i="6"/>
  <c r="DF45" i="6"/>
  <c r="DF46" i="6"/>
  <c r="DF47" i="6"/>
  <c r="DF48" i="6"/>
  <c r="DF49" i="6"/>
  <c r="DF50" i="6"/>
  <c r="DF51" i="6"/>
  <c r="DF52" i="6"/>
  <c r="DF53" i="6"/>
  <c r="DF54" i="6"/>
  <c r="DF55" i="6"/>
  <c r="DF8" i="6"/>
  <c r="DH56" i="6"/>
  <c r="DK56" i="6"/>
  <c r="DE56" i="6"/>
  <c r="CR9" i="6"/>
  <c r="CR10" i="6"/>
  <c r="CR11" i="6"/>
  <c r="CR12" i="6"/>
  <c r="CR13" i="6"/>
  <c r="CR14" i="6"/>
  <c r="CR15" i="6"/>
  <c r="CR16" i="6"/>
  <c r="CR17" i="6"/>
  <c r="CR18" i="6"/>
  <c r="CR19" i="6"/>
  <c r="CR20" i="6"/>
  <c r="CR21" i="6"/>
  <c r="CR22" i="6"/>
  <c r="CR23" i="6"/>
  <c r="CR24" i="6"/>
  <c r="CR25" i="6"/>
  <c r="CR26" i="6"/>
  <c r="CR27" i="6"/>
  <c r="CR28" i="6"/>
  <c r="CR29" i="6"/>
  <c r="CR30" i="6"/>
  <c r="CR31" i="6"/>
  <c r="CR32" i="6"/>
  <c r="CR33" i="6"/>
  <c r="CR34" i="6"/>
  <c r="CR35" i="6"/>
  <c r="CR36" i="6"/>
  <c r="CR37" i="6"/>
  <c r="CR38" i="6"/>
  <c r="CR39" i="6"/>
  <c r="CR40" i="6"/>
  <c r="CR41" i="6"/>
  <c r="CR42" i="6"/>
  <c r="CR43" i="6"/>
  <c r="CR44" i="6"/>
  <c r="CR45" i="6"/>
  <c r="CR46" i="6"/>
  <c r="CR47" i="6"/>
  <c r="CR48" i="6"/>
  <c r="CR49" i="6"/>
  <c r="CR50" i="6"/>
  <c r="CR51" i="6"/>
  <c r="CR52" i="6"/>
  <c r="CR53" i="6"/>
  <c r="CR54" i="6"/>
  <c r="CR55" i="6"/>
  <c r="CR56" i="6"/>
  <c r="CR57" i="6"/>
  <c r="CR58" i="6"/>
  <c r="CR59" i="6"/>
  <c r="CR60" i="6"/>
  <c r="CR61" i="6"/>
  <c r="CR62" i="6"/>
  <c r="CR63" i="6"/>
  <c r="CR8" i="6"/>
  <c r="CO23" i="6"/>
  <c r="CO24" i="6"/>
  <c r="CO25" i="6"/>
  <c r="CO26" i="6"/>
  <c r="CO27" i="6"/>
  <c r="CO28" i="6"/>
  <c r="CO29" i="6"/>
  <c r="CO30" i="6"/>
  <c r="CO31" i="6"/>
  <c r="CO32" i="6"/>
  <c r="CO33" i="6"/>
  <c r="CO34" i="6"/>
  <c r="CO35" i="6"/>
  <c r="CO36" i="6"/>
  <c r="CO37" i="6"/>
  <c r="CO38" i="6"/>
  <c r="CO39" i="6"/>
  <c r="CO40" i="6"/>
  <c r="CO41" i="6"/>
  <c r="CO42" i="6"/>
  <c r="CO43" i="6"/>
  <c r="CO44" i="6"/>
  <c r="CO45" i="6"/>
  <c r="CO46" i="6"/>
  <c r="CO47" i="6"/>
  <c r="CO48" i="6"/>
  <c r="CO49" i="6"/>
  <c r="CO50" i="6"/>
  <c r="CO51" i="6"/>
  <c r="CO52" i="6"/>
  <c r="CO53" i="6"/>
  <c r="CO54" i="6"/>
  <c r="CO55" i="6"/>
  <c r="CO56" i="6"/>
  <c r="CO57" i="6"/>
  <c r="CO58" i="6"/>
  <c r="CO59" i="6"/>
  <c r="CO60" i="6"/>
  <c r="CO61" i="6"/>
  <c r="CO62" i="6"/>
  <c r="CO63" i="6"/>
  <c r="CO9" i="6"/>
  <c r="CO10" i="6"/>
  <c r="CO11" i="6"/>
  <c r="CO12" i="6"/>
  <c r="CO13" i="6"/>
  <c r="CO14" i="6"/>
  <c r="CO15" i="6"/>
  <c r="CO16" i="6"/>
  <c r="CO17" i="6"/>
  <c r="CO18" i="6"/>
  <c r="CO19" i="6"/>
  <c r="CO20" i="6"/>
  <c r="CO21" i="6"/>
  <c r="CO22" i="6"/>
  <c r="CO8" i="6"/>
  <c r="CL9" i="6"/>
  <c r="CL10" i="6"/>
  <c r="CL11" i="6"/>
  <c r="CL12" i="6"/>
  <c r="CL13" i="6"/>
  <c r="CL14" i="6"/>
  <c r="CL15" i="6"/>
  <c r="CL16" i="6"/>
  <c r="CL17" i="6"/>
  <c r="CL18" i="6"/>
  <c r="CL19" i="6"/>
  <c r="CL20" i="6"/>
  <c r="CL21" i="6"/>
  <c r="CL22" i="6"/>
  <c r="CL23" i="6"/>
  <c r="CL24" i="6"/>
  <c r="CL25" i="6"/>
  <c r="CL26" i="6"/>
  <c r="CL27" i="6"/>
  <c r="CL28" i="6"/>
  <c r="CL29" i="6"/>
  <c r="CL30" i="6"/>
  <c r="CL31" i="6"/>
  <c r="CL32" i="6"/>
  <c r="CL33" i="6"/>
  <c r="CL34" i="6"/>
  <c r="CL35" i="6"/>
  <c r="CL36" i="6"/>
  <c r="CL37" i="6"/>
  <c r="CL38" i="6"/>
  <c r="CL39" i="6"/>
  <c r="CL40" i="6"/>
  <c r="CL41" i="6"/>
  <c r="CL42" i="6"/>
  <c r="CL43" i="6"/>
  <c r="CL44" i="6"/>
  <c r="CL45" i="6"/>
  <c r="CL46" i="6"/>
  <c r="CL47" i="6"/>
  <c r="CL48" i="6"/>
  <c r="CL49" i="6"/>
  <c r="CL50" i="6"/>
  <c r="CL51" i="6"/>
  <c r="CL52" i="6"/>
  <c r="CL53" i="6"/>
  <c r="CL54" i="6"/>
  <c r="CL55" i="6"/>
  <c r="CL56" i="6"/>
  <c r="CL57" i="6"/>
  <c r="CL58" i="6"/>
  <c r="CL59" i="6"/>
  <c r="CL60" i="6"/>
  <c r="CL61" i="6"/>
  <c r="CL62" i="6"/>
  <c r="CL63" i="6"/>
  <c r="CL8" i="6"/>
  <c r="CN64" i="6"/>
  <c r="CO64" i="6" s="1"/>
  <c r="CQ64" i="6"/>
  <c r="CR64" i="6" s="1"/>
  <c r="CK64" i="6"/>
  <c r="CE9" i="6"/>
  <c r="CE10" i="6"/>
  <c r="CE11" i="6"/>
  <c r="CE12" i="6"/>
  <c r="CE13" i="6"/>
  <c r="CE14" i="6"/>
  <c r="CE15" i="6"/>
  <c r="CE16" i="6"/>
  <c r="CE17" i="6"/>
  <c r="CE18" i="6"/>
  <c r="CE19" i="6"/>
  <c r="CE20" i="6"/>
  <c r="CE21" i="6"/>
  <c r="CE22" i="6"/>
  <c r="CE23" i="6"/>
  <c r="CE24" i="6"/>
  <c r="CE25" i="6"/>
  <c r="CE26" i="6"/>
  <c r="CE27" i="6"/>
  <c r="CE28" i="6"/>
  <c r="CE29" i="6"/>
  <c r="CE30" i="6"/>
  <c r="CE31" i="6"/>
  <c r="CE32" i="6"/>
  <c r="CE33" i="6"/>
  <c r="CE34" i="6"/>
  <c r="CE35" i="6"/>
  <c r="CE36" i="6"/>
  <c r="CE37" i="6"/>
  <c r="CE38" i="6"/>
  <c r="CE39" i="6"/>
  <c r="CE40" i="6"/>
  <c r="CE41" i="6"/>
  <c r="CE42" i="6"/>
  <c r="CE43" i="6"/>
  <c r="CE44" i="6"/>
  <c r="CE45" i="6"/>
  <c r="CE46" i="6"/>
  <c r="CE47" i="6"/>
  <c r="CE48" i="6"/>
  <c r="CE49" i="6"/>
  <c r="CE50" i="6"/>
  <c r="CE8" i="6"/>
  <c r="CB9" i="6"/>
  <c r="CB10" i="6"/>
  <c r="CB11" i="6"/>
  <c r="CB12" i="6"/>
  <c r="CB13" i="6"/>
  <c r="CB14" i="6"/>
  <c r="CB15" i="6"/>
  <c r="CB16" i="6"/>
  <c r="CB17" i="6"/>
  <c r="CB18" i="6"/>
  <c r="CB19" i="6"/>
  <c r="CB20" i="6"/>
  <c r="CB21" i="6"/>
  <c r="CB22" i="6"/>
  <c r="CB23" i="6"/>
  <c r="CB24" i="6"/>
  <c r="CB25" i="6"/>
  <c r="CB26" i="6"/>
  <c r="CB27" i="6"/>
  <c r="CB28" i="6"/>
  <c r="CB29" i="6"/>
  <c r="CB30" i="6"/>
  <c r="CB31" i="6"/>
  <c r="CB32" i="6"/>
  <c r="CB33" i="6"/>
  <c r="CB34" i="6"/>
  <c r="CB35" i="6"/>
  <c r="CB36" i="6"/>
  <c r="CB37" i="6"/>
  <c r="CB38" i="6"/>
  <c r="CB39" i="6"/>
  <c r="CB40" i="6"/>
  <c r="CB41" i="6"/>
  <c r="CB42" i="6"/>
  <c r="CB43" i="6"/>
  <c r="CB44" i="6"/>
  <c r="CB45" i="6"/>
  <c r="CB46" i="6"/>
  <c r="CB47" i="6"/>
  <c r="CB48" i="6"/>
  <c r="CB49" i="6"/>
  <c r="CB50" i="6"/>
  <c r="CB8" i="6"/>
  <c r="BY9" i="6"/>
  <c r="BY10" i="6"/>
  <c r="BY11" i="6"/>
  <c r="BY12" i="6"/>
  <c r="BY13" i="6"/>
  <c r="BY14" i="6"/>
  <c r="BY15" i="6"/>
  <c r="BY16" i="6"/>
  <c r="BY17" i="6"/>
  <c r="BY18" i="6"/>
  <c r="BY19" i="6"/>
  <c r="BY20" i="6"/>
  <c r="BY21" i="6"/>
  <c r="BY22" i="6"/>
  <c r="BY23" i="6"/>
  <c r="BY24" i="6"/>
  <c r="BY25" i="6"/>
  <c r="BY26" i="6"/>
  <c r="BY27" i="6"/>
  <c r="BY28" i="6"/>
  <c r="BY29" i="6"/>
  <c r="BY30" i="6"/>
  <c r="BY31" i="6"/>
  <c r="BY32" i="6"/>
  <c r="BY33" i="6"/>
  <c r="BY34" i="6"/>
  <c r="BY35" i="6"/>
  <c r="BY36" i="6"/>
  <c r="BY37" i="6"/>
  <c r="BY38" i="6"/>
  <c r="BY39" i="6"/>
  <c r="BY40" i="6"/>
  <c r="BY41" i="6"/>
  <c r="BY42" i="6"/>
  <c r="BY43" i="6"/>
  <c r="BY44" i="6"/>
  <c r="BY45" i="6"/>
  <c r="BY46" i="6"/>
  <c r="BY47" i="6"/>
  <c r="BY48" i="6"/>
  <c r="BY49" i="6"/>
  <c r="BY50" i="6"/>
  <c r="BY8" i="6"/>
  <c r="CA51" i="6"/>
  <c r="CD51" i="6"/>
  <c r="BX51" i="6"/>
  <c r="BR9" i="6"/>
  <c r="BR10" i="6"/>
  <c r="BR11" i="6"/>
  <c r="BR12" i="6"/>
  <c r="BR13" i="6"/>
  <c r="BR14" i="6"/>
  <c r="BR15" i="6"/>
  <c r="BR16" i="6"/>
  <c r="BR17" i="6"/>
  <c r="BR18" i="6"/>
  <c r="BR19" i="6"/>
  <c r="BR20" i="6"/>
  <c r="BR21" i="6"/>
  <c r="BR22" i="6"/>
  <c r="BR23" i="6"/>
  <c r="BR24" i="6"/>
  <c r="BR25" i="6"/>
  <c r="BR26" i="6"/>
  <c r="BR27" i="6"/>
  <c r="BR28" i="6"/>
  <c r="BR29" i="6"/>
  <c r="BR30" i="6"/>
  <c r="BR31" i="6"/>
  <c r="BR32" i="6"/>
  <c r="BR33" i="6"/>
  <c r="BR34" i="6"/>
  <c r="BR35" i="6"/>
  <c r="BR36" i="6"/>
  <c r="BR37" i="6"/>
  <c r="BR38" i="6"/>
  <c r="BR39" i="6"/>
  <c r="BR40" i="6"/>
  <c r="BR41" i="6"/>
  <c r="BR42" i="6"/>
  <c r="BR43" i="6"/>
  <c r="BR44" i="6"/>
  <c r="BR45" i="6"/>
  <c r="BR46" i="6"/>
  <c r="BR47" i="6"/>
  <c r="BR48" i="6"/>
  <c r="BR49" i="6"/>
  <c r="BR50" i="6"/>
  <c r="BR51" i="6"/>
  <c r="BR8" i="6"/>
  <c r="BO9" i="6"/>
  <c r="BO10" i="6"/>
  <c r="BO11" i="6"/>
  <c r="BO12" i="6"/>
  <c r="BO13" i="6"/>
  <c r="BO14" i="6"/>
  <c r="BO15" i="6"/>
  <c r="BO16" i="6"/>
  <c r="BO17" i="6"/>
  <c r="BO18" i="6"/>
  <c r="BO19" i="6"/>
  <c r="BO20" i="6"/>
  <c r="BO21" i="6"/>
  <c r="BO22" i="6"/>
  <c r="BO23" i="6"/>
  <c r="BO24" i="6"/>
  <c r="BO25" i="6"/>
  <c r="BO26" i="6"/>
  <c r="BO27" i="6"/>
  <c r="BO28" i="6"/>
  <c r="BO29" i="6"/>
  <c r="BO30" i="6"/>
  <c r="BO31" i="6"/>
  <c r="BO32" i="6"/>
  <c r="BO33" i="6"/>
  <c r="BO34" i="6"/>
  <c r="BO35" i="6"/>
  <c r="BO36" i="6"/>
  <c r="BO37" i="6"/>
  <c r="BO38" i="6"/>
  <c r="BO39" i="6"/>
  <c r="BO40" i="6"/>
  <c r="BO41" i="6"/>
  <c r="BO42" i="6"/>
  <c r="BO43" i="6"/>
  <c r="BO44" i="6"/>
  <c r="BO45" i="6"/>
  <c r="BO46" i="6"/>
  <c r="BO47" i="6"/>
  <c r="BO48" i="6"/>
  <c r="BO49" i="6"/>
  <c r="BO50" i="6"/>
  <c r="BO51" i="6"/>
  <c r="BO8" i="6"/>
  <c r="BN52" i="6"/>
  <c r="BQ52" i="6"/>
  <c r="BL9" i="6"/>
  <c r="BL10" i="6"/>
  <c r="BL11" i="6"/>
  <c r="BL12" i="6"/>
  <c r="BL13" i="6"/>
  <c r="BL14" i="6"/>
  <c r="BL15" i="6"/>
  <c r="BL16" i="6"/>
  <c r="BL17" i="6"/>
  <c r="BL18" i="6"/>
  <c r="BL19" i="6"/>
  <c r="BL20" i="6"/>
  <c r="BL21" i="6"/>
  <c r="BL22" i="6"/>
  <c r="BL23" i="6"/>
  <c r="BL24" i="6"/>
  <c r="BL25" i="6"/>
  <c r="BL26" i="6"/>
  <c r="BL27" i="6"/>
  <c r="BL28" i="6"/>
  <c r="BL29" i="6"/>
  <c r="BL30" i="6"/>
  <c r="BL31" i="6"/>
  <c r="BL32" i="6"/>
  <c r="BL33" i="6"/>
  <c r="BL34" i="6"/>
  <c r="BL35" i="6"/>
  <c r="BL36" i="6"/>
  <c r="BL37" i="6"/>
  <c r="BL38" i="6"/>
  <c r="BL39" i="6"/>
  <c r="BL40" i="6"/>
  <c r="BL41" i="6"/>
  <c r="BL42" i="6"/>
  <c r="BL43" i="6"/>
  <c r="BL44" i="6"/>
  <c r="BL45" i="6"/>
  <c r="BL46" i="6"/>
  <c r="BL47" i="6"/>
  <c r="BL48" i="6"/>
  <c r="BL49" i="6"/>
  <c r="BL50" i="6"/>
  <c r="BL51" i="6"/>
  <c r="BL8" i="6"/>
  <c r="BK52" i="6"/>
  <c r="AX68" i="6"/>
  <c r="BA68" i="6"/>
  <c r="AY11" i="6"/>
  <c r="BE9" i="6"/>
  <c r="BE10" i="6"/>
  <c r="BE11" i="6"/>
  <c r="BE12" i="6"/>
  <c r="BE13" i="6"/>
  <c r="BE14" i="6"/>
  <c r="BE15" i="6"/>
  <c r="BE16" i="6"/>
  <c r="BE17" i="6"/>
  <c r="BE18" i="6"/>
  <c r="BE19" i="6"/>
  <c r="BE20" i="6"/>
  <c r="BE21" i="6"/>
  <c r="BE22" i="6"/>
  <c r="BE23" i="6"/>
  <c r="BE24" i="6"/>
  <c r="BE25" i="6"/>
  <c r="BE26" i="6"/>
  <c r="BE27" i="6"/>
  <c r="BE28" i="6"/>
  <c r="BE29" i="6"/>
  <c r="BE30" i="6"/>
  <c r="BE31" i="6"/>
  <c r="BE32" i="6"/>
  <c r="BE33" i="6"/>
  <c r="BE34" i="6"/>
  <c r="BE35" i="6"/>
  <c r="BE36" i="6"/>
  <c r="BE37" i="6"/>
  <c r="BE38" i="6"/>
  <c r="BE39" i="6"/>
  <c r="BE40" i="6"/>
  <c r="BE41" i="6"/>
  <c r="BE42" i="6"/>
  <c r="BE43" i="6"/>
  <c r="BE44" i="6"/>
  <c r="BE45" i="6"/>
  <c r="BE46" i="6"/>
  <c r="BE47" i="6"/>
  <c r="BE48" i="6"/>
  <c r="BE49" i="6"/>
  <c r="BE50" i="6"/>
  <c r="BE51" i="6"/>
  <c r="BE52" i="6"/>
  <c r="BE53" i="6"/>
  <c r="BE54" i="6"/>
  <c r="BE55" i="6"/>
  <c r="BE56" i="6"/>
  <c r="BE57" i="6"/>
  <c r="BE58" i="6"/>
  <c r="BE59" i="6"/>
  <c r="BE60" i="6"/>
  <c r="BE61" i="6"/>
  <c r="BE62" i="6"/>
  <c r="BE63" i="6"/>
  <c r="BE64" i="6"/>
  <c r="BE65" i="6"/>
  <c r="BE66" i="6"/>
  <c r="BE67" i="6"/>
  <c r="BE8" i="6"/>
  <c r="BB9" i="6"/>
  <c r="BB10" i="6"/>
  <c r="BB11" i="6"/>
  <c r="BB12" i="6"/>
  <c r="BB13" i="6"/>
  <c r="BB14" i="6"/>
  <c r="BB15" i="6"/>
  <c r="BB16" i="6"/>
  <c r="BB17" i="6"/>
  <c r="BB18" i="6"/>
  <c r="BB19" i="6"/>
  <c r="BB20" i="6"/>
  <c r="BB21" i="6"/>
  <c r="BB22" i="6"/>
  <c r="BB23" i="6"/>
  <c r="BB24" i="6"/>
  <c r="BB25" i="6"/>
  <c r="BB26" i="6"/>
  <c r="BB27" i="6"/>
  <c r="BB28" i="6"/>
  <c r="BB29" i="6"/>
  <c r="BB30" i="6"/>
  <c r="BB31" i="6"/>
  <c r="BB32" i="6"/>
  <c r="BB33" i="6"/>
  <c r="BB34" i="6"/>
  <c r="BB35" i="6"/>
  <c r="BB36" i="6"/>
  <c r="BB37" i="6"/>
  <c r="BB38" i="6"/>
  <c r="BB39" i="6"/>
  <c r="BB40" i="6"/>
  <c r="BB41" i="6"/>
  <c r="BB42" i="6"/>
  <c r="BB43" i="6"/>
  <c r="BB44" i="6"/>
  <c r="BB45" i="6"/>
  <c r="BB46" i="6"/>
  <c r="BB47" i="6"/>
  <c r="BB48" i="6"/>
  <c r="BB49" i="6"/>
  <c r="BB50" i="6"/>
  <c r="BB51" i="6"/>
  <c r="BB52" i="6"/>
  <c r="BB53" i="6"/>
  <c r="BB54" i="6"/>
  <c r="BB55" i="6"/>
  <c r="BB56" i="6"/>
  <c r="BB57" i="6"/>
  <c r="BB58" i="6"/>
  <c r="BB59" i="6"/>
  <c r="BB60" i="6"/>
  <c r="BB61" i="6"/>
  <c r="BB62" i="6"/>
  <c r="BB63" i="6"/>
  <c r="BB64" i="6"/>
  <c r="BB65" i="6"/>
  <c r="BB66" i="6"/>
  <c r="BB67" i="6"/>
  <c r="BB8" i="6"/>
  <c r="AY9" i="6"/>
  <c r="AY10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32" i="6"/>
  <c r="AY33" i="6"/>
  <c r="AY34" i="6"/>
  <c r="AY35" i="6"/>
  <c r="AY36" i="6"/>
  <c r="AY37" i="6"/>
  <c r="AY38" i="6"/>
  <c r="AY39" i="6"/>
  <c r="AY40" i="6"/>
  <c r="AY41" i="6"/>
  <c r="AY42" i="6"/>
  <c r="AY43" i="6"/>
  <c r="AY44" i="6"/>
  <c r="AY45" i="6"/>
  <c r="AY46" i="6"/>
  <c r="AY47" i="6"/>
  <c r="AY48" i="6"/>
  <c r="AY49" i="6"/>
  <c r="AY50" i="6"/>
  <c r="AY51" i="6"/>
  <c r="AY52" i="6"/>
  <c r="AY53" i="6"/>
  <c r="AY54" i="6"/>
  <c r="AY55" i="6"/>
  <c r="AY56" i="6"/>
  <c r="AY57" i="6"/>
  <c r="AY58" i="6"/>
  <c r="AY59" i="6"/>
  <c r="AY60" i="6"/>
  <c r="AY61" i="6"/>
  <c r="AY62" i="6"/>
  <c r="AY63" i="6"/>
  <c r="AY64" i="6"/>
  <c r="AY65" i="6"/>
  <c r="AY66" i="6"/>
  <c r="AY67" i="6"/>
  <c r="AY8" i="6"/>
  <c r="AV9" i="6"/>
  <c r="AV10" i="6"/>
  <c r="AV11" i="6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V25" i="6"/>
  <c r="AV26" i="6"/>
  <c r="AV27" i="6"/>
  <c r="AV28" i="6"/>
  <c r="AV29" i="6"/>
  <c r="AV30" i="6"/>
  <c r="AV31" i="6"/>
  <c r="AV32" i="6"/>
  <c r="AV33" i="6"/>
  <c r="AV34" i="6"/>
  <c r="AV35" i="6"/>
  <c r="AV36" i="6"/>
  <c r="AV37" i="6"/>
  <c r="AV38" i="6"/>
  <c r="AV39" i="6"/>
  <c r="AV40" i="6"/>
  <c r="AV41" i="6"/>
  <c r="AV42" i="6"/>
  <c r="AV43" i="6"/>
  <c r="AV44" i="6"/>
  <c r="AV45" i="6"/>
  <c r="AV46" i="6"/>
  <c r="AV47" i="6"/>
  <c r="AV48" i="6"/>
  <c r="AV49" i="6"/>
  <c r="AV50" i="6"/>
  <c r="AV51" i="6"/>
  <c r="AV52" i="6"/>
  <c r="AV53" i="6"/>
  <c r="AV54" i="6"/>
  <c r="AV55" i="6"/>
  <c r="AV56" i="6"/>
  <c r="AV57" i="6"/>
  <c r="AV58" i="6"/>
  <c r="AV59" i="6"/>
  <c r="AV60" i="6"/>
  <c r="AV61" i="6"/>
  <c r="AV62" i="6"/>
  <c r="AV63" i="6"/>
  <c r="AV64" i="6"/>
  <c r="AV65" i="6"/>
  <c r="AV66" i="6"/>
  <c r="AV67" i="6"/>
  <c r="AV8" i="6"/>
  <c r="BD68" i="6"/>
  <c r="AU6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36" i="6"/>
  <c r="AO37" i="6"/>
  <c r="AO38" i="6"/>
  <c r="AO39" i="6"/>
  <c r="AO40" i="6"/>
  <c r="AO41" i="6"/>
  <c r="AO42" i="6"/>
  <c r="AO43" i="6"/>
  <c r="AO44" i="6"/>
  <c r="AO45" i="6"/>
  <c r="AO46" i="6"/>
  <c r="AO47" i="6"/>
  <c r="AO48" i="6"/>
  <c r="AO49" i="6"/>
  <c r="AO50" i="6"/>
  <c r="AO51" i="6"/>
  <c r="AO52" i="6"/>
  <c r="AO53" i="6"/>
  <c r="AO54" i="6"/>
  <c r="AO55" i="6"/>
  <c r="AO56" i="6"/>
  <c r="AO57" i="6"/>
  <c r="AO58" i="6"/>
  <c r="AO59" i="6"/>
  <c r="AO60" i="6"/>
  <c r="AO61" i="6"/>
  <c r="AO62" i="6"/>
  <c r="AO63" i="6"/>
  <c r="AO64" i="6"/>
  <c r="AO65" i="6"/>
  <c r="AO66" i="6"/>
  <c r="AO67" i="6"/>
  <c r="AO8" i="6"/>
  <c r="AH68" i="6"/>
  <c r="AK68" i="6"/>
  <c r="AN6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43" i="6"/>
  <c r="AL44" i="6"/>
  <c r="AL45" i="6"/>
  <c r="AL46" i="6"/>
  <c r="AL47" i="6"/>
  <c r="AL48" i="6"/>
  <c r="AL49" i="6"/>
  <c r="AL50" i="6"/>
  <c r="AL51" i="6"/>
  <c r="AL52" i="6"/>
  <c r="AL53" i="6"/>
  <c r="AL54" i="6"/>
  <c r="AL55" i="6"/>
  <c r="AL56" i="6"/>
  <c r="AL57" i="6"/>
  <c r="AL58" i="6"/>
  <c r="AL59" i="6"/>
  <c r="AL60" i="6"/>
  <c r="AL61" i="6"/>
  <c r="AL62" i="6"/>
  <c r="AL63" i="6"/>
  <c r="AL64" i="6"/>
  <c r="AL65" i="6"/>
  <c r="AL66" i="6"/>
  <c r="AL67" i="6"/>
  <c r="AL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I29" i="6"/>
  <c r="AI30" i="6"/>
  <c r="AI31" i="6"/>
  <c r="AI32" i="6"/>
  <c r="AI33" i="6"/>
  <c r="AI34" i="6"/>
  <c r="AI35" i="6"/>
  <c r="AI36" i="6"/>
  <c r="AI37" i="6"/>
  <c r="AI38" i="6"/>
  <c r="AI39" i="6"/>
  <c r="AI40" i="6"/>
  <c r="AI41" i="6"/>
  <c r="AI42" i="6"/>
  <c r="AI43" i="6"/>
  <c r="AI44" i="6"/>
  <c r="AI45" i="6"/>
  <c r="AI46" i="6"/>
  <c r="AI47" i="6"/>
  <c r="AI48" i="6"/>
  <c r="AI49" i="6"/>
  <c r="AI50" i="6"/>
  <c r="AI51" i="6"/>
  <c r="AI52" i="6"/>
  <c r="AI53" i="6"/>
  <c r="AI54" i="6"/>
  <c r="AI55" i="6"/>
  <c r="AI56" i="6"/>
  <c r="AI57" i="6"/>
  <c r="AI58" i="6"/>
  <c r="AI59" i="6"/>
  <c r="AI60" i="6"/>
  <c r="AI61" i="6"/>
  <c r="AI62" i="6"/>
  <c r="AI63" i="6"/>
  <c r="AI64" i="6"/>
  <c r="AI65" i="6"/>
  <c r="AI66" i="6"/>
  <c r="AI67" i="6"/>
  <c r="AI8" i="6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2" i="6"/>
  <c r="AF23" i="6"/>
  <c r="AF24" i="6"/>
  <c r="AF25" i="6"/>
  <c r="AF26" i="6"/>
  <c r="AF27" i="6"/>
  <c r="AF28" i="6"/>
  <c r="AF29" i="6"/>
  <c r="AF30" i="6"/>
  <c r="AF31" i="6"/>
  <c r="AF32" i="6"/>
  <c r="AF33" i="6"/>
  <c r="AF34" i="6"/>
  <c r="AF35" i="6"/>
  <c r="AF36" i="6"/>
  <c r="AF37" i="6"/>
  <c r="AF39" i="6"/>
  <c r="AF40" i="6"/>
  <c r="AF41" i="6"/>
  <c r="AF42" i="6"/>
  <c r="AF43" i="6"/>
  <c r="AF44" i="6"/>
  <c r="AF45" i="6"/>
  <c r="AF46" i="6"/>
  <c r="AF47" i="6"/>
  <c r="AF48" i="6"/>
  <c r="AF49" i="6"/>
  <c r="AF50" i="6"/>
  <c r="AF51" i="6"/>
  <c r="AF52" i="6"/>
  <c r="AF53" i="6"/>
  <c r="AF54" i="6"/>
  <c r="AF55" i="6"/>
  <c r="AF56" i="6"/>
  <c r="AF57" i="6"/>
  <c r="AF58" i="6"/>
  <c r="AF59" i="6"/>
  <c r="AF60" i="6"/>
  <c r="AF61" i="6"/>
  <c r="AF62" i="6"/>
  <c r="AF63" i="6"/>
  <c r="AF64" i="6"/>
  <c r="AF65" i="6"/>
  <c r="AF66" i="6"/>
  <c r="AF67" i="6"/>
  <c r="AF8" i="6"/>
  <c r="AE6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8" i="6"/>
  <c r="V50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1" i="6"/>
  <c r="V52" i="6"/>
  <c r="V53" i="6"/>
  <c r="V54" i="6"/>
  <c r="V55" i="6"/>
  <c r="V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8" i="6"/>
  <c r="R56" i="6"/>
  <c r="U56" i="6"/>
  <c r="X56" i="6"/>
  <c r="O56" i="6"/>
  <c r="J4" i="3"/>
  <c r="D35" i="6" l="1"/>
  <c r="J49" i="6"/>
  <c r="BK66" i="5"/>
  <c r="CH71" i="5"/>
  <c r="J45" i="5"/>
  <c r="BH66" i="5"/>
  <c r="DN45" i="5"/>
  <c r="CY45" i="6"/>
  <c r="BE66" i="5"/>
  <c r="CN71" i="5"/>
  <c r="DX47" i="5"/>
  <c r="AF50" i="5"/>
  <c r="BB66" i="5"/>
  <c r="CK71" i="5"/>
  <c r="CA55" i="5"/>
  <c r="CX39" i="5"/>
  <c r="DK45" i="5"/>
  <c r="ER48" i="5"/>
  <c r="BX55" i="5"/>
  <c r="DH45" i="5"/>
  <c r="DU47" i="5"/>
  <c r="DE45" i="5"/>
  <c r="EA47" i="5"/>
  <c r="AL50" i="5"/>
  <c r="BU55" i="5"/>
  <c r="EO48" i="5"/>
  <c r="AI50" i="5"/>
  <c r="EL48" i="5"/>
  <c r="EI48" i="5"/>
  <c r="CQ71" i="5"/>
  <c r="BR55" i="5"/>
  <c r="P52" i="5"/>
  <c r="V52" i="5"/>
  <c r="S52" i="5"/>
  <c r="Y52" i="5"/>
  <c r="DY57" i="6"/>
  <c r="EI58" i="6"/>
  <c r="EO58" i="6"/>
  <c r="EL58" i="6"/>
  <c r="DF56" i="6"/>
  <c r="DS57" i="6"/>
  <c r="DV57" i="6"/>
  <c r="DI56" i="6"/>
  <c r="BL52" i="6"/>
  <c r="CE51" i="6"/>
  <c r="CL64" i="6"/>
  <c r="CB51" i="6"/>
  <c r="BY51" i="6"/>
  <c r="BO52" i="6"/>
  <c r="AV68" i="6"/>
  <c r="BB68" i="6"/>
  <c r="AY68" i="6"/>
  <c r="AF68" i="6"/>
  <c r="AL68" i="6"/>
  <c r="AI68" i="6"/>
  <c r="AO68" i="6"/>
  <c r="S56" i="6"/>
  <c r="Y56" i="6"/>
  <c r="P56" i="6"/>
  <c r="P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4" i="3"/>
  <c r="G4" i="3" l="1"/>
  <c r="H4" i="3" s="1"/>
  <c r="I4" i="3" s="1"/>
  <c r="DR4" i="3"/>
  <c r="FI5" i="3" l="1"/>
  <c r="FI6" i="3"/>
  <c r="FI7" i="3"/>
  <c r="FI8" i="3"/>
  <c r="FI9" i="3"/>
  <c r="FI10" i="3"/>
  <c r="FI11" i="3"/>
  <c r="FI12" i="3"/>
  <c r="FI13" i="3"/>
  <c r="FI14" i="3"/>
  <c r="FI15" i="3"/>
  <c r="FI16" i="3"/>
  <c r="FI17" i="3"/>
  <c r="FI18" i="3"/>
  <c r="FI19" i="3"/>
  <c r="FI20" i="3"/>
  <c r="FI21" i="3"/>
  <c r="FI22" i="3"/>
  <c r="FI23" i="3"/>
  <c r="FI24" i="3"/>
  <c r="FI25" i="3"/>
  <c r="FI26" i="3"/>
  <c r="FI27" i="3"/>
  <c r="FI28" i="3"/>
  <c r="FI29" i="3"/>
  <c r="FI30" i="3"/>
  <c r="FI31" i="3"/>
  <c r="FI32" i="3"/>
  <c r="FI33" i="3"/>
  <c r="FI34" i="3"/>
  <c r="FI35" i="3"/>
  <c r="FI36" i="3"/>
  <c r="FI37" i="3"/>
  <c r="FI38" i="3"/>
  <c r="FI39" i="3"/>
  <c r="FI40" i="3"/>
  <c r="FI41" i="3"/>
  <c r="FI42" i="3"/>
  <c r="FI43" i="3"/>
  <c r="FI44" i="3"/>
  <c r="FI45" i="3"/>
  <c r="FI46" i="3"/>
  <c r="FI47" i="3"/>
  <c r="FI48" i="3"/>
  <c r="FI49" i="3"/>
  <c r="FI4" i="3"/>
  <c r="ET5" i="3"/>
  <c r="ET6" i="3"/>
  <c r="ET7" i="3"/>
  <c r="ET8" i="3"/>
  <c r="ET9" i="3"/>
  <c r="ET10" i="3"/>
  <c r="ET11" i="3"/>
  <c r="ET12" i="3"/>
  <c r="ET13" i="3"/>
  <c r="ET14" i="3"/>
  <c r="ET15" i="3"/>
  <c r="ET16" i="3"/>
  <c r="ET17" i="3"/>
  <c r="ET18" i="3"/>
  <c r="ET19" i="3"/>
  <c r="ET20" i="3"/>
  <c r="ET21" i="3"/>
  <c r="ET22" i="3"/>
  <c r="ET23" i="3"/>
  <c r="ET24" i="3"/>
  <c r="ET25" i="3"/>
  <c r="ET26" i="3"/>
  <c r="ET27" i="3"/>
  <c r="ET28" i="3"/>
  <c r="ET29" i="3"/>
  <c r="ET30" i="3"/>
  <c r="ET31" i="3"/>
  <c r="ET32" i="3"/>
  <c r="ET33" i="3"/>
  <c r="ET34" i="3"/>
  <c r="ET35" i="3"/>
  <c r="ET36" i="3"/>
  <c r="ET37" i="3"/>
  <c r="ET38" i="3"/>
  <c r="ET39" i="3"/>
  <c r="ET40" i="3"/>
  <c r="ET41" i="3"/>
  <c r="ET42" i="3"/>
  <c r="ET43" i="3"/>
  <c r="ET44" i="3"/>
  <c r="ET45" i="3"/>
  <c r="ET46" i="3"/>
  <c r="ET47" i="3"/>
  <c r="ET48" i="3"/>
  <c r="DR5" i="3"/>
  <c r="DR6" i="3"/>
  <c r="DR7" i="3"/>
  <c r="DR8" i="3"/>
  <c r="DR9" i="3"/>
  <c r="DR10" i="3"/>
  <c r="DR11" i="3"/>
  <c r="DR12" i="3"/>
  <c r="DR13" i="3"/>
  <c r="DR14" i="3"/>
  <c r="DR15" i="3"/>
  <c r="DR16" i="3"/>
  <c r="DR17" i="3"/>
  <c r="DR18" i="3"/>
  <c r="DR19" i="3"/>
  <c r="DR20" i="3"/>
  <c r="DR21" i="3"/>
  <c r="DR22" i="3"/>
  <c r="DR23" i="3"/>
  <c r="DR24" i="3"/>
  <c r="DR25" i="3"/>
  <c r="DR26" i="3"/>
  <c r="DR27" i="3"/>
  <c r="DR28" i="3"/>
  <c r="DR29" i="3"/>
  <c r="DR30" i="3"/>
  <c r="DR31" i="3"/>
  <c r="DR32" i="3"/>
  <c r="DR33" i="3"/>
  <c r="DR34" i="3"/>
  <c r="DR35" i="3"/>
  <c r="DR36" i="3"/>
  <c r="DR37" i="3"/>
  <c r="DR38" i="3"/>
  <c r="DR39" i="3"/>
  <c r="DR40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1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DG58" i="3"/>
  <c r="DG59" i="3"/>
  <c r="DG60" i="3"/>
  <c r="DG61" i="3"/>
  <c r="DG62" i="3"/>
  <c r="DG63" i="3"/>
  <c r="DG64" i="3"/>
  <c r="DG65" i="3"/>
  <c r="DG66" i="3"/>
  <c r="DG67" i="3"/>
  <c r="DG68" i="3"/>
  <c r="DG69" i="3"/>
  <c r="DG70" i="3"/>
  <c r="DG71" i="3"/>
  <c r="DG72" i="3"/>
  <c r="DG4" i="3"/>
  <c r="CQ5" i="3"/>
  <c r="CQ6" i="3"/>
  <c r="CQ7" i="3"/>
  <c r="CQ8" i="3"/>
  <c r="CQ9" i="3"/>
  <c r="CQ10" i="3"/>
  <c r="CQ11" i="3"/>
  <c r="CQ12" i="3"/>
  <c r="CQ13" i="3"/>
  <c r="CQ14" i="3"/>
  <c r="CQ15" i="3"/>
  <c r="CQ16" i="3"/>
  <c r="CQ17" i="3"/>
  <c r="CQ18" i="3"/>
  <c r="CQ19" i="3"/>
  <c r="CQ20" i="3"/>
  <c r="CQ21" i="3"/>
  <c r="CQ22" i="3"/>
  <c r="CQ23" i="3"/>
  <c r="CQ24" i="3"/>
  <c r="CQ25" i="3"/>
  <c r="CQ26" i="3"/>
  <c r="CQ27" i="3"/>
  <c r="CQ28" i="3"/>
  <c r="CQ29" i="3"/>
  <c r="CQ30" i="3"/>
  <c r="CQ31" i="3"/>
  <c r="CQ32" i="3"/>
  <c r="CQ33" i="3"/>
  <c r="CQ34" i="3"/>
  <c r="CQ35" i="3"/>
  <c r="CQ36" i="3"/>
  <c r="CQ37" i="3"/>
  <c r="CQ38" i="3"/>
  <c r="CQ39" i="3"/>
  <c r="CQ40" i="3"/>
  <c r="CQ41" i="3"/>
  <c r="CQ42" i="3"/>
  <c r="CQ43" i="3"/>
  <c r="CQ44" i="3"/>
  <c r="CQ45" i="3"/>
  <c r="CQ46" i="3"/>
  <c r="CQ47" i="3"/>
  <c r="CQ48" i="3"/>
  <c r="CQ49" i="3"/>
  <c r="CQ50" i="3"/>
  <c r="CQ51" i="3"/>
  <c r="CQ52" i="3"/>
  <c r="CQ53" i="3"/>
  <c r="CQ54" i="3"/>
  <c r="CQ55" i="3"/>
  <c r="CQ56" i="3"/>
  <c r="CQ4" i="3"/>
  <c r="CB5" i="3"/>
  <c r="CB6" i="3"/>
  <c r="CB7" i="3"/>
  <c r="CB8" i="3"/>
  <c r="CB9" i="3"/>
  <c r="CB10" i="3"/>
  <c r="CB11" i="3"/>
  <c r="CB12" i="3"/>
  <c r="CB13" i="3"/>
  <c r="CB14" i="3"/>
  <c r="CB15" i="3"/>
  <c r="CB16" i="3"/>
  <c r="CB17" i="3"/>
  <c r="CB18" i="3"/>
  <c r="CB19" i="3"/>
  <c r="CB20" i="3"/>
  <c r="CB21" i="3"/>
  <c r="CB22" i="3"/>
  <c r="CB23" i="3"/>
  <c r="CB24" i="3"/>
  <c r="CB25" i="3"/>
  <c r="CB26" i="3"/>
  <c r="CB27" i="3"/>
  <c r="CB28" i="3"/>
  <c r="CB29" i="3"/>
  <c r="CB30" i="3"/>
  <c r="CB31" i="3"/>
  <c r="CB32" i="3"/>
  <c r="CB33" i="3"/>
  <c r="CB34" i="3"/>
  <c r="CB35" i="3"/>
  <c r="CB36" i="3"/>
  <c r="CB37" i="3"/>
  <c r="CB38" i="3"/>
  <c r="CB39" i="3"/>
  <c r="CB40" i="3"/>
  <c r="CB41" i="3"/>
  <c r="CB42" i="3"/>
  <c r="CB43" i="3"/>
  <c r="CB44" i="3"/>
  <c r="CB45" i="3"/>
  <c r="CB46" i="3"/>
  <c r="CB47" i="3"/>
  <c r="CB48" i="3"/>
  <c r="CB49" i="3"/>
  <c r="CB50" i="3"/>
  <c r="CB51" i="3"/>
  <c r="CB52" i="3"/>
  <c r="CB53" i="3"/>
  <c r="CB54" i="3"/>
  <c r="CB55" i="3"/>
  <c r="CB56" i="3"/>
  <c r="CB57" i="3"/>
  <c r="CB58" i="3"/>
  <c r="CB59" i="3"/>
  <c r="CB60" i="3"/>
  <c r="CB61" i="3"/>
  <c r="CB62" i="3"/>
  <c r="CB63" i="3"/>
  <c r="CB64" i="3"/>
  <c r="CB65" i="3"/>
  <c r="CB66" i="3"/>
  <c r="CB67" i="3"/>
  <c r="CB4" i="3"/>
  <c r="BL5" i="3"/>
  <c r="BL6" i="3"/>
  <c r="BL7" i="3"/>
  <c r="BL8" i="3"/>
  <c r="BL9" i="3"/>
  <c r="BL10" i="3"/>
  <c r="BL11" i="3"/>
  <c r="BL12" i="3"/>
  <c r="BL13" i="3"/>
  <c r="BL14" i="3"/>
  <c r="BL15" i="3"/>
  <c r="BL16" i="3"/>
  <c r="BL17" i="3"/>
  <c r="BL18" i="3"/>
  <c r="BL19" i="3"/>
  <c r="BL20" i="3"/>
  <c r="BL21" i="3"/>
  <c r="BL22" i="3"/>
  <c r="BL23" i="3"/>
  <c r="BL24" i="3"/>
  <c r="BL25" i="3"/>
  <c r="BL26" i="3"/>
  <c r="BL27" i="3"/>
  <c r="BL28" i="3"/>
  <c r="BL29" i="3"/>
  <c r="BL30" i="3"/>
  <c r="BL31" i="3"/>
  <c r="BL32" i="3"/>
  <c r="BL33" i="3"/>
  <c r="BL34" i="3"/>
  <c r="BL35" i="3"/>
  <c r="BL36" i="3"/>
  <c r="BL37" i="3"/>
  <c r="BL38" i="3"/>
  <c r="BL39" i="3"/>
  <c r="BL40" i="3"/>
  <c r="BL41" i="3"/>
  <c r="BL42" i="3"/>
  <c r="BL43" i="3"/>
  <c r="BL44" i="3"/>
  <c r="BL45" i="3"/>
  <c r="BL46" i="3"/>
  <c r="BL47" i="3"/>
  <c r="BL48" i="3"/>
  <c r="BL49" i="3"/>
  <c r="BL50" i="3"/>
  <c r="BL51" i="3"/>
  <c r="BL52" i="3"/>
  <c r="BL53" i="3"/>
  <c r="BL54" i="3"/>
  <c r="BL55" i="3"/>
  <c r="BL56" i="3"/>
  <c r="BL57" i="3"/>
  <c r="BL58" i="3"/>
  <c r="BL59" i="3"/>
  <c r="BL4" i="3"/>
  <c r="AZ5" i="3"/>
  <c r="AZ6" i="3"/>
  <c r="AZ7" i="3"/>
  <c r="AZ8" i="3"/>
  <c r="AZ9" i="3"/>
  <c r="AZ10" i="3"/>
  <c r="AZ11" i="3"/>
  <c r="AZ12" i="3"/>
  <c r="AZ13" i="3"/>
  <c r="AZ14" i="3"/>
  <c r="AZ15" i="3"/>
  <c r="AZ16" i="3"/>
  <c r="AZ17" i="3"/>
  <c r="AZ18" i="3"/>
  <c r="AZ19" i="3"/>
  <c r="AZ20" i="3"/>
  <c r="AZ21" i="3"/>
  <c r="AZ22" i="3"/>
  <c r="AZ23" i="3"/>
  <c r="AZ24" i="3"/>
  <c r="AZ25" i="3"/>
  <c r="AZ26" i="3"/>
  <c r="AZ27" i="3"/>
  <c r="AZ28" i="3"/>
  <c r="AZ29" i="3"/>
  <c r="AZ30" i="3"/>
  <c r="AZ31" i="3"/>
  <c r="AZ32" i="3"/>
  <c r="AZ33" i="3"/>
  <c r="AZ34" i="3"/>
  <c r="AZ35" i="3"/>
  <c r="AZ36" i="3"/>
  <c r="AZ37" i="3"/>
  <c r="AZ38" i="3"/>
  <c r="AZ39" i="3"/>
  <c r="AZ40" i="3"/>
  <c r="AZ41" i="3"/>
  <c r="AZ42" i="3"/>
  <c r="AZ43" i="3"/>
  <c r="AZ44" i="3"/>
  <c r="AZ45" i="3"/>
  <c r="AZ46" i="3"/>
  <c r="AZ47" i="3"/>
  <c r="AZ48" i="3"/>
  <c r="AZ49" i="3"/>
  <c r="AZ50" i="3"/>
  <c r="AZ51" i="3"/>
  <c r="AZ4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" i="3"/>
  <c r="J5" i="3"/>
  <c r="J6" i="3"/>
  <c r="J7" i="3"/>
  <c r="J8" i="3"/>
  <c r="J9" i="3"/>
  <c r="J10" i="3"/>
  <c r="J11" i="3"/>
  <c r="J12" i="3"/>
  <c r="J13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2" i="3" l="1"/>
  <c r="FI50" i="3"/>
  <c r="BL60" i="3"/>
  <c r="ET49" i="3"/>
  <c r="DR41" i="3"/>
  <c r="DG73" i="3"/>
  <c r="CQ57" i="3"/>
  <c r="CB68" i="3"/>
  <c r="AZ52" i="3"/>
  <c r="U47" i="3"/>
  <c r="AJ54" i="3"/>
  <c r="J31" i="3"/>
  <c r="EZ6" i="1"/>
  <c r="EZ7" i="1"/>
  <c r="EZ8" i="1"/>
  <c r="EZ9" i="1"/>
  <c r="EZ10" i="1"/>
  <c r="EZ11" i="1"/>
  <c r="EZ12" i="1"/>
  <c r="EZ13" i="1"/>
  <c r="EZ14" i="1"/>
  <c r="EZ15" i="1"/>
  <c r="EZ16" i="1"/>
  <c r="EZ17" i="1"/>
  <c r="EZ18" i="1"/>
  <c r="EZ19" i="1"/>
  <c r="EZ20" i="1"/>
  <c r="EZ21" i="1"/>
  <c r="EZ22" i="1"/>
  <c r="EZ23" i="1"/>
  <c r="EZ24" i="1"/>
  <c r="EZ25" i="1"/>
  <c r="EZ26" i="1"/>
  <c r="EZ27" i="1"/>
  <c r="EZ28" i="1"/>
  <c r="EZ29" i="1"/>
  <c r="EZ30" i="1"/>
  <c r="EZ31" i="1"/>
  <c r="EZ32" i="1"/>
  <c r="EZ33" i="1"/>
  <c r="EZ34" i="1"/>
  <c r="EZ35" i="1"/>
  <c r="EZ36" i="1"/>
  <c r="EZ37" i="1"/>
  <c r="EZ38" i="1"/>
  <c r="EZ39" i="1"/>
  <c r="EZ40" i="1"/>
  <c r="EZ41" i="1"/>
  <c r="EZ42" i="1"/>
  <c r="EZ43" i="1"/>
  <c r="EZ44" i="1"/>
  <c r="EZ45" i="1"/>
  <c r="EZ46" i="1"/>
  <c r="EZ47" i="1"/>
  <c r="EZ48" i="1"/>
  <c r="EZ49" i="1"/>
  <c r="EZ50" i="1"/>
  <c r="EZ51" i="1"/>
  <c r="EZ52" i="1"/>
  <c r="EZ53" i="1"/>
  <c r="EZ5" i="1"/>
  <c r="EK6" i="1"/>
  <c r="EK7" i="1"/>
  <c r="EK8" i="1"/>
  <c r="EK9" i="1"/>
  <c r="EK10" i="1"/>
  <c r="EK11" i="1"/>
  <c r="EK12" i="1"/>
  <c r="EK13" i="1"/>
  <c r="EK14" i="1"/>
  <c r="EK15" i="1"/>
  <c r="EK16" i="1"/>
  <c r="EK17" i="1"/>
  <c r="EK18" i="1"/>
  <c r="EK19" i="1"/>
  <c r="EK20" i="1"/>
  <c r="EK21" i="1"/>
  <c r="EK22" i="1"/>
  <c r="EK23" i="1"/>
  <c r="EK24" i="1"/>
  <c r="EK25" i="1"/>
  <c r="EK26" i="1"/>
  <c r="EK27" i="1"/>
  <c r="EK28" i="1"/>
  <c r="EK29" i="1"/>
  <c r="EK30" i="1"/>
  <c r="EK31" i="1"/>
  <c r="EK32" i="1"/>
  <c r="EK33" i="1"/>
  <c r="EK34" i="1"/>
  <c r="EK35" i="1"/>
  <c r="EK36" i="1"/>
  <c r="EK37" i="1"/>
  <c r="EK38" i="1"/>
  <c r="EK39" i="1"/>
  <c r="EK40" i="1"/>
  <c r="EK41" i="1"/>
  <c r="EK42" i="1"/>
  <c r="EK43" i="1"/>
  <c r="EK44" i="1"/>
  <c r="EK45" i="1"/>
  <c r="EK46" i="1"/>
  <c r="EK47" i="1"/>
  <c r="EK48" i="1"/>
  <c r="EK49" i="1"/>
  <c r="EK50" i="1"/>
  <c r="EK51" i="1"/>
  <c r="EK52" i="1"/>
  <c r="EK5" i="1"/>
  <c r="DL5" i="1"/>
  <c r="DW6" i="1"/>
  <c r="DW7" i="1"/>
  <c r="DW8" i="1"/>
  <c r="DW9" i="1"/>
  <c r="DW10" i="1"/>
  <c r="DW11" i="1"/>
  <c r="DW12" i="1"/>
  <c r="DW13" i="1"/>
  <c r="DW14" i="1"/>
  <c r="DW15" i="1"/>
  <c r="DW16" i="1"/>
  <c r="DW17" i="1"/>
  <c r="DW18" i="1"/>
  <c r="DW19" i="1"/>
  <c r="DW20" i="1"/>
  <c r="DW21" i="1"/>
  <c r="DW22" i="1"/>
  <c r="DW23" i="1"/>
  <c r="DW24" i="1"/>
  <c r="DW25" i="1"/>
  <c r="DW26" i="1"/>
  <c r="DW27" i="1"/>
  <c r="DW28" i="1"/>
  <c r="DW29" i="1"/>
  <c r="DW30" i="1"/>
  <c r="DW31" i="1"/>
  <c r="DW32" i="1"/>
  <c r="DW33" i="1"/>
  <c r="DW34" i="1"/>
  <c r="DW35" i="1"/>
  <c r="DW36" i="1"/>
  <c r="DW37" i="1"/>
  <c r="DW38" i="1"/>
  <c r="DW39" i="1"/>
  <c r="DW40" i="1"/>
  <c r="DW41" i="1"/>
  <c r="DW5" i="1"/>
  <c r="DL6" i="1"/>
  <c r="DL7" i="1"/>
  <c r="DL8" i="1"/>
  <c r="DL9" i="1"/>
  <c r="DL10" i="1"/>
  <c r="DL11" i="1"/>
  <c r="DL12" i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CW6" i="1"/>
  <c r="CW7" i="1"/>
  <c r="CW8" i="1"/>
  <c r="CW9" i="1"/>
  <c r="CW10" i="1"/>
  <c r="CW11" i="1"/>
  <c r="CW12" i="1"/>
  <c r="CW13" i="1"/>
  <c r="CW14" i="1"/>
  <c r="CW15" i="1"/>
  <c r="CW16" i="1"/>
  <c r="CW17" i="1"/>
  <c r="CW18" i="1"/>
  <c r="CW19" i="1"/>
  <c r="CW20" i="1"/>
  <c r="CW21" i="1"/>
  <c r="CW22" i="1"/>
  <c r="CW23" i="1"/>
  <c r="CW24" i="1"/>
  <c r="CW25" i="1"/>
  <c r="CW26" i="1"/>
  <c r="CW27" i="1"/>
  <c r="CW28" i="1"/>
  <c r="CW29" i="1"/>
  <c r="CW30" i="1"/>
  <c r="CW31" i="1"/>
  <c r="CW32" i="1"/>
  <c r="CW33" i="1"/>
  <c r="CW34" i="1"/>
  <c r="CW35" i="1"/>
  <c r="CW36" i="1"/>
  <c r="CW37" i="1"/>
  <c r="CW38" i="1"/>
  <c r="CW39" i="1"/>
  <c r="CW40" i="1"/>
  <c r="CW41" i="1"/>
  <c r="CW42" i="1"/>
  <c r="CW43" i="1"/>
  <c r="CW44" i="1"/>
  <c r="CW45" i="1"/>
  <c r="CW46" i="1"/>
  <c r="CW47" i="1"/>
  <c r="CW5" i="1"/>
  <c r="CH6" i="1"/>
  <c r="CH7" i="1"/>
  <c r="CH8" i="1"/>
  <c r="CH9" i="1"/>
  <c r="CH10" i="1"/>
  <c r="CH11" i="1"/>
  <c r="CH12" i="1"/>
  <c r="CH13" i="1"/>
  <c r="CH14" i="1"/>
  <c r="CH15" i="1"/>
  <c r="CH16" i="1"/>
  <c r="CH17" i="1"/>
  <c r="CH18" i="1"/>
  <c r="CH19" i="1"/>
  <c r="CH20" i="1"/>
  <c r="CH21" i="1"/>
  <c r="CH22" i="1"/>
  <c r="CH23" i="1"/>
  <c r="CH24" i="1"/>
  <c r="CH25" i="1"/>
  <c r="CH26" i="1"/>
  <c r="CH27" i="1"/>
  <c r="CH28" i="1"/>
  <c r="CH29" i="1"/>
  <c r="CH30" i="1"/>
  <c r="CH31" i="1"/>
  <c r="CH32" i="1"/>
  <c r="CH33" i="1"/>
  <c r="CH34" i="1"/>
  <c r="CH35" i="1"/>
  <c r="CH36" i="1"/>
  <c r="CH37" i="1"/>
  <c r="CH38" i="1"/>
  <c r="CH39" i="1"/>
  <c r="CH40" i="1"/>
  <c r="CH41" i="1"/>
  <c r="CH42" i="1"/>
  <c r="CH43" i="1"/>
  <c r="CH44" i="1"/>
  <c r="CH45" i="1"/>
  <c r="CH46" i="1"/>
  <c r="CH47" i="1"/>
  <c r="CH48" i="1"/>
  <c r="CH5" i="1"/>
  <c r="BS6" i="1"/>
  <c r="BS7" i="1"/>
  <c r="BS8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S23" i="1"/>
  <c r="BS24" i="1"/>
  <c r="BS25" i="1"/>
  <c r="BS26" i="1"/>
  <c r="BS27" i="1"/>
  <c r="BS28" i="1"/>
  <c r="BS29" i="1"/>
  <c r="BS30" i="1"/>
  <c r="BS31" i="1"/>
  <c r="BS32" i="1"/>
  <c r="BS33" i="1"/>
  <c r="BS34" i="1"/>
  <c r="BS35" i="1"/>
  <c r="BS36" i="1"/>
  <c r="BS37" i="1"/>
  <c r="BS38" i="1"/>
  <c r="BS39" i="1"/>
  <c r="BS40" i="1"/>
  <c r="BS41" i="1"/>
  <c r="BS42" i="1"/>
  <c r="BS43" i="1"/>
  <c r="BS44" i="1"/>
  <c r="BS45" i="1"/>
  <c r="BS46" i="1"/>
  <c r="BS47" i="1"/>
  <c r="BS48" i="1"/>
  <c r="BS49" i="1"/>
  <c r="BS50" i="1"/>
  <c r="BS51" i="1"/>
  <c r="BS52" i="1"/>
  <c r="BS53" i="1"/>
  <c r="BS54" i="1"/>
  <c r="BS55" i="1"/>
  <c r="BS56" i="1"/>
  <c r="BS57" i="1"/>
  <c r="BS58" i="1"/>
  <c r="BS59" i="1"/>
  <c r="BS60" i="1"/>
  <c r="BS61" i="1"/>
  <c r="BS62" i="1"/>
  <c r="BS63" i="1"/>
  <c r="BS64" i="1"/>
  <c r="BS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B64" i="1"/>
  <c r="BB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EZ55" i="1" l="1"/>
  <c r="EZ54" i="1"/>
  <c r="EK54" i="1"/>
  <c r="EK53" i="1"/>
  <c r="DW43" i="1"/>
  <c r="DW42" i="1"/>
  <c r="DL61" i="1"/>
  <c r="CH49" i="1"/>
  <c r="DL62" i="1"/>
  <c r="CH50" i="1"/>
  <c r="CW49" i="1"/>
  <c r="CW48" i="1"/>
  <c r="BB65" i="1"/>
  <c r="BS65" i="1"/>
  <c r="BB66" i="1"/>
  <c r="BS66" i="1"/>
  <c r="AJ54" i="1"/>
  <c r="AJ53" i="1"/>
  <c r="U47" i="1"/>
  <c r="U46" i="1"/>
  <c r="J32" i="1"/>
  <c r="J33" i="1"/>
  <c r="DM5" i="3" l="1"/>
  <c r="DO5" i="3" s="1"/>
  <c r="DM6" i="3"/>
  <c r="DO6" i="3" s="1"/>
  <c r="DP6" i="3" s="1"/>
  <c r="DQ6" i="3" s="1"/>
  <c r="DM7" i="3"/>
  <c r="DO7" i="3" s="1"/>
  <c r="DM8" i="3"/>
  <c r="DN8" i="3" s="1"/>
  <c r="DM9" i="3"/>
  <c r="DN9" i="3" s="1"/>
  <c r="DM10" i="3"/>
  <c r="DN10" i="3" s="1"/>
  <c r="DM11" i="3"/>
  <c r="DN11" i="3" s="1"/>
  <c r="DM12" i="3"/>
  <c r="DN12" i="3" s="1"/>
  <c r="DM13" i="3"/>
  <c r="DO13" i="3" s="1"/>
  <c r="DM14" i="3"/>
  <c r="DM15" i="3"/>
  <c r="DO15" i="3" s="1"/>
  <c r="DP15" i="3" s="1"/>
  <c r="DQ15" i="3" s="1"/>
  <c r="DM16" i="3"/>
  <c r="DN16" i="3" s="1"/>
  <c r="DM17" i="3"/>
  <c r="DN17" i="3" s="1"/>
  <c r="DM18" i="3"/>
  <c r="DN18" i="3" s="1"/>
  <c r="DM19" i="3"/>
  <c r="DN19" i="3" s="1"/>
  <c r="DM20" i="3"/>
  <c r="DN20" i="3" s="1"/>
  <c r="DM21" i="3"/>
  <c r="DO21" i="3" s="1"/>
  <c r="DM22" i="3"/>
  <c r="DO22" i="3" s="1"/>
  <c r="DM23" i="3"/>
  <c r="DO23" i="3" s="1"/>
  <c r="DP23" i="3" s="1"/>
  <c r="DQ23" i="3" s="1"/>
  <c r="DM24" i="3"/>
  <c r="DN24" i="3" s="1"/>
  <c r="DM25" i="3"/>
  <c r="DN25" i="3" s="1"/>
  <c r="DM26" i="3"/>
  <c r="DN26" i="3" s="1"/>
  <c r="DM27" i="3"/>
  <c r="DN27" i="3" s="1"/>
  <c r="DM28" i="3"/>
  <c r="DN28" i="3" s="1"/>
  <c r="DM29" i="3"/>
  <c r="DO29" i="3" s="1"/>
  <c r="DM30" i="3"/>
  <c r="DM31" i="3"/>
  <c r="DO31" i="3" s="1"/>
  <c r="DP31" i="3" s="1"/>
  <c r="DQ31" i="3" s="1"/>
  <c r="DM32" i="3"/>
  <c r="DN32" i="3" s="1"/>
  <c r="DM33" i="3"/>
  <c r="DN33" i="3" s="1"/>
  <c r="DM34" i="3"/>
  <c r="DN34" i="3" s="1"/>
  <c r="DM35" i="3"/>
  <c r="DN35" i="3" s="1"/>
  <c r="DM36" i="3"/>
  <c r="DN36" i="3" s="1"/>
  <c r="DM37" i="3"/>
  <c r="DO37" i="3" s="1"/>
  <c r="DM38" i="3"/>
  <c r="DO38" i="3" s="1"/>
  <c r="DM39" i="3"/>
  <c r="DO39" i="3" s="1"/>
  <c r="DP39" i="3" s="1"/>
  <c r="DQ39" i="3" s="1"/>
  <c r="DM4" i="3"/>
  <c r="DN4" i="3" s="1"/>
  <c r="DL5" i="3"/>
  <c r="DL6" i="3"/>
  <c r="DL7" i="3"/>
  <c r="DL8" i="3"/>
  <c r="DL9" i="3"/>
  <c r="DL10" i="3"/>
  <c r="DL11" i="3"/>
  <c r="DL12" i="3"/>
  <c r="DL13" i="3"/>
  <c r="DL14" i="3"/>
  <c r="DL15" i="3"/>
  <c r="DL16" i="3"/>
  <c r="DL17" i="3"/>
  <c r="DL18" i="3"/>
  <c r="DL19" i="3"/>
  <c r="DL20" i="3"/>
  <c r="DL21" i="3"/>
  <c r="DL22" i="3"/>
  <c r="DL23" i="3"/>
  <c r="DL24" i="3"/>
  <c r="DL25" i="3"/>
  <c r="DL26" i="3"/>
  <c r="DL27" i="3"/>
  <c r="DL28" i="3"/>
  <c r="DL29" i="3"/>
  <c r="DL30" i="3"/>
  <c r="DL31" i="3"/>
  <c r="DL32" i="3"/>
  <c r="DL33" i="3"/>
  <c r="DL34" i="3"/>
  <c r="DL35" i="3"/>
  <c r="DL36" i="3"/>
  <c r="DL37" i="3"/>
  <c r="DL38" i="3"/>
  <c r="DL39" i="3"/>
  <c r="DL4" i="3"/>
  <c r="DK40" i="3"/>
  <c r="DO36" i="3" l="1"/>
  <c r="DO35" i="3"/>
  <c r="DP38" i="3"/>
  <c r="DQ38" i="3" s="1"/>
  <c r="DP22" i="3"/>
  <c r="DQ22" i="3" s="1"/>
  <c r="DO20" i="3"/>
  <c r="DP20" i="3" s="1"/>
  <c r="DQ20" i="3" s="1"/>
  <c r="DO19" i="3"/>
  <c r="DN38" i="3"/>
  <c r="DO12" i="3"/>
  <c r="DP12" i="3" s="1"/>
  <c r="DQ12" i="3" s="1"/>
  <c r="DN22" i="3"/>
  <c r="DO11" i="3"/>
  <c r="DP11" i="3" s="1"/>
  <c r="DQ11" i="3" s="1"/>
  <c r="DO26" i="3"/>
  <c r="DO10" i="3"/>
  <c r="DP10" i="3" s="1"/>
  <c r="DQ10" i="3" s="1"/>
  <c r="DO9" i="3"/>
  <c r="DP9" i="3" s="1"/>
  <c r="DQ9" i="3" s="1"/>
  <c r="DN31" i="3"/>
  <c r="DN30" i="3"/>
  <c r="DN14" i="3"/>
  <c r="DO33" i="3"/>
  <c r="DP33" i="3" s="1"/>
  <c r="DQ33" i="3" s="1"/>
  <c r="DO25" i="3"/>
  <c r="DP25" i="3" s="1"/>
  <c r="DQ25" i="3" s="1"/>
  <c r="DN15" i="3"/>
  <c r="DO30" i="3"/>
  <c r="DP30" i="3" s="1"/>
  <c r="DQ30" i="3" s="1"/>
  <c r="DO18" i="3"/>
  <c r="DP18" i="3" s="1"/>
  <c r="DQ18" i="3" s="1"/>
  <c r="DO34" i="3"/>
  <c r="DP34" i="3" s="1"/>
  <c r="DQ34" i="3" s="1"/>
  <c r="DO28" i="3"/>
  <c r="DP28" i="3" s="1"/>
  <c r="DQ28" i="3" s="1"/>
  <c r="DO17" i="3"/>
  <c r="DP17" i="3" s="1"/>
  <c r="DQ17" i="3" s="1"/>
  <c r="DN39" i="3"/>
  <c r="DN23" i="3"/>
  <c r="DN6" i="3"/>
  <c r="DO27" i="3"/>
  <c r="DP27" i="3" s="1"/>
  <c r="DQ27" i="3" s="1"/>
  <c r="DO14" i="3"/>
  <c r="DP14" i="3" s="1"/>
  <c r="DQ14" i="3" s="1"/>
  <c r="DP5" i="3"/>
  <c r="DQ5" i="3" s="1"/>
  <c r="DN5" i="3"/>
  <c r="DP36" i="3"/>
  <c r="DQ36" i="3" s="1"/>
  <c r="DN37" i="3"/>
  <c r="DN29" i="3"/>
  <c r="DN21" i="3"/>
  <c r="DN13" i="3"/>
  <c r="DO4" i="3"/>
  <c r="DP4" i="3" s="1"/>
  <c r="DQ4" i="3" s="1"/>
  <c r="DO32" i="3"/>
  <c r="DP32" i="3" s="1"/>
  <c r="DQ32" i="3" s="1"/>
  <c r="DO24" i="3"/>
  <c r="DP24" i="3" s="1"/>
  <c r="DQ24" i="3" s="1"/>
  <c r="DO16" i="3"/>
  <c r="DP16" i="3" s="1"/>
  <c r="DQ16" i="3" s="1"/>
  <c r="DO8" i="3"/>
  <c r="DP8" i="3" s="1"/>
  <c r="DQ8" i="3" s="1"/>
  <c r="DP35" i="3"/>
  <c r="DQ35" i="3" s="1"/>
  <c r="DP19" i="3"/>
  <c r="DQ19" i="3" s="1"/>
  <c r="DP37" i="3"/>
  <c r="DQ37" i="3" s="1"/>
  <c r="DP26" i="3"/>
  <c r="DQ26" i="3" s="1"/>
  <c r="DP29" i="3"/>
  <c r="DQ29" i="3" s="1"/>
  <c r="DP21" i="3"/>
  <c r="DQ21" i="3" s="1"/>
  <c r="DP13" i="3"/>
  <c r="DQ13" i="3" s="1"/>
  <c r="DN7" i="3"/>
  <c r="DP7" i="3"/>
  <c r="DR6" i="1"/>
  <c r="DT6" i="1" s="1"/>
  <c r="DU6" i="1" s="1"/>
  <c r="DV6" i="1" s="1"/>
  <c r="DR7" i="1"/>
  <c r="DT7" i="1" s="1"/>
  <c r="DU7" i="1" s="1"/>
  <c r="DV7" i="1" s="1"/>
  <c r="DR8" i="1"/>
  <c r="DT8" i="1" s="1"/>
  <c r="DU8" i="1" s="1"/>
  <c r="DV8" i="1" s="1"/>
  <c r="DR9" i="1"/>
  <c r="DS9" i="1" s="1"/>
  <c r="DR10" i="1"/>
  <c r="DS10" i="1" s="1"/>
  <c r="DR11" i="1"/>
  <c r="DR12" i="1"/>
  <c r="DT12" i="1" s="1"/>
  <c r="DU12" i="1" s="1"/>
  <c r="DV12" i="1" s="1"/>
  <c r="DR13" i="1"/>
  <c r="DS13" i="1" s="1"/>
  <c r="DR14" i="1"/>
  <c r="DT14" i="1" s="1"/>
  <c r="DU14" i="1" s="1"/>
  <c r="DV14" i="1" s="1"/>
  <c r="DR15" i="1"/>
  <c r="DT15" i="1" s="1"/>
  <c r="DU15" i="1" s="1"/>
  <c r="DV15" i="1" s="1"/>
  <c r="DR16" i="1"/>
  <c r="DT16" i="1" s="1"/>
  <c r="DU16" i="1" s="1"/>
  <c r="DV16" i="1" s="1"/>
  <c r="DR17" i="1"/>
  <c r="DS17" i="1" s="1"/>
  <c r="DR18" i="1"/>
  <c r="DS18" i="1" s="1"/>
  <c r="DR19" i="1"/>
  <c r="DR20" i="1"/>
  <c r="DT20" i="1" s="1"/>
  <c r="DU20" i="1" s="1"/>
  <c r="DV20" i="1" s="1"/>
  <c r="DR21" i="1"/>
  <c r="DR22" i="1"/>
  <c r="DT22" i="1" s="1"/>
  <c r="DU22" i="1" s="1"/>
  <c r="DV22" i="1" s="1"/>
  <c r="DR23" i="1"/>
  <c r="DT23" i="1" s="1"/>
  <c r="DU23" i="1" s="1"/>
  <c r="DV23" i="1" s="1"/>
  <c r="DR24" i="1"/>
  <c r="DT24" i="1" s="1"/>
  <c r="DU24" i="1" s="1"/>
  <c r="DV24" i="1" s="1"/>
  <c r="DR25" i="1"/>
  <c r="DS25" i="1" s="1"/>
  <c r="DR26" i="1"/>
  <c r="DS26" i="1" s="1"/>
  <c r="DR27" i="1"/>
  <c r="DR28" i="1"/>
  <c r="DT28" i="1" s="1"/>
  <c r="DU28" i="1" s="1"/>
  <c r="DV28" i="1" s="1"/>
  <c r="DR29" i="1"/>
  <c r="DR30" i="1"/>
  <c r="DT30" i="1" s="1"/>
  <c r="DU30" i="1" s="1"/>
  <c r="DV30" i="1" s="1"/>
  <c r="DR31" i="1"/>
  <c r="DT31" i="1" s="1"/>
  <c r="DU31" i="1" s="1"/>
  <c r="DV31" i="1" s="1"/>
  <c r="DR32" i="1"/>
  <c r="DT32" i="1" s="1"/>
  <c r="DU32" i="1" s="1"/>
  <c r="DV32" i="1" s="1"/>
  <c r="DR33" i="1"/>
  <c r="DS33" i="1" s="1"/>
  <c r="DR34" i="1"/>
  <c r="DS34" i="1" s="1"/>
  <c r="DR35" i="1"/>
  <c r="DR36" i="1"/>
  <c r="DT36" i="1" s="1"/>
  <c r="DU36" i="1" s="1"/>
  <c r="DV36" i="1" s="1"/>
  <c r="DR37" i="1"/>
  <c r="DS37" i="1" s="1"/>
  <c r="DR38" i="1"/>
  <c r="DT38" i="1" s="1"/>
  <c r="DU38" i="1" s="1"/>
  <c r="DV38" i="1" s="1"/>
  <c r="DR39" i="1"/>
  <c r="DT39" i="1" s="1"/>
  <c r="DU39" i="1" s="1"/>
  <c r="DV39" i="1" s="1"/>
  <c r="DR40" i="1"/>
  <c r="DT40" i="1" s="1"/>
  <c r="DU40" i="1" s="1"/>
  <c r="DV40" i="1" s="1"/>
  <c r="DR41" i="1"/>
  <c r="DS41" i="1" s="1"/>
  <c r="DR5" i="1"/>
  <c r="DS5" i="1" s="1"/>
  <c r="DQ6" i="1"/>
  <c r="DQ7" i="1"/>
  <c r="DQ8" i="1"/>
  <c r="DQ9" i="1"/>
  <c r="DQ10" i="1"/>
  <c r="DQ11" i="1"/>
  <c r="DQ12" i="1"/>
  <c r="DQ13" i="1"/>
  <c r="DQ14" i="1"/>
  <c r="DQ15" i="1"/>
  <c r="DQ16" i="1"/>
  <c r="DQ17" i="1"/>
  <c r="DQ18" i="1"/>
  <c r="DQ19" i="1"/>
  <c r="DQ20" i="1"/>
  <c r="DQ21" i="1"/>
  <c r="DQ22" i="1"/>
  <c r="DQ23" i="1"/>
  <c r="DQ24" i="1"/>
  <c r="DQ25" i="1"/>
  <c r="DQ26" i="1"/>
  <c r="DQ27" i="1"/>
  <c r="DQ28" i="1"/>
  <c r="DQ29" i="1"/>
  <c r="DQ30" i="1"/>
  <c r="DQ31" i="1"/>
  <c r="DQ32" i="1"/>
  <c r="DQ33" i="1"/>
  <c r="DQ34" i="1"/>
  <c r="DQ35" i="1"/>
  <c r="DQ36" i="1"/>
  <c r="DQ37" i="1"/>
  <c r="DQ38" i="1"/>
  <c r="DQ39" i="1"/>
  <c r="DQ40" i="1"/>
  <c r="DQ41" i="1"/>
  <c r="DQ5" i="1"/>
  <c r="DP42" i="1"/>
  <c r="DS22" i="1" l="1"/>
  <c r="DS20" i="1"/>
  <c r="DS24" i="1"/>
  <c r="DS14" i="1"/>
  <c r="DS38" i="1"/>
  <c r="DS8" i="1"/>
  <c r="DS6" i="1"/>
  <c r="DS36" i="1"/>
  <c r="DS40" i="1"/>
  <c r="DS29" i="1"/>
  <c r="DS15" i="1"/>
  <c r="DS39" i="1"/>
  <c r="DS28" i="1"/>
  <c r="DT29" i="1"/>
  <c r="DU29" i="1" s="1"/>
  <c r="DV29" i="1" s="1"/>
  <c r="DS23" i="1"/>
  <c r="DS12" i="1"/>
  <c r="DT21" i="1"/>
  <c r="DU21" i="1" s="1"/>
  <c r="DV21" i="1" s="1"/>
  <c r="DS32" i="1"/>
  <c r="DS21" i="1"/>
  <c r="DS7" i="1"/>
  <c r="DT13" i="1"/>
  <c r="DU13" i="1" s="1"/>
  <c r="DV13" i="1" s="1"/>
  <c r="DS31" i="1"/>
  <c r="DS30" i="1"/>
  <c r="DS16" i="1"/>
  <c r="DT37" i="1"/>
  <c r="DU37" i="1" s="1"/>
  <c r="DV37" i="1" s="1"/>
  <c r="DT26" i="1"/>
  <c r="DU26" i="1" s="1"/>
  <c r="DV26" i="1" s="1"/>
  <c r="DT41" i="1"/>
  <c r="DU41" i="1" s="1"/>
  <c r="DV41" i="1" s="1"/>
  <c r="DT33" i="1"/>
  <c r="DU33" i="1" s="1"/>
  <c r="DV33" i="1" s="1"/>
  <c r="DT9" i="1"/>
  <c r="DU9" i="1" s="1"/>
  <c r="DV9" i="1" s="1"/>
  <c r="DT35" i="1"/>
  <c r="DU35" i="1" s="1"/>
  <c r="DV35" i="1" s="1"/>
  <c r="DT11" i="1"/>
  <c r="DU11" i="1" s="1"/>
  <c r="DV11" i="1" s="1"/>
  <c r="DT10" i="1"/>
  <c r="DU10" i="1" s="1"/>
  <c r="DV10" i="1" s="1"/>
  <c r="DT25" i="1"/>
  <c r="DU25" i="1" s="1"/>
  <c r="DV25" i="1" s="1"/>
  <c r="DS35" i="1"/>
  <c r="DS27" i="1"/>
  <c r="DS19" i="1"/>
  <c r="DS11" i="1"/>
  <c r="DT27" i="1"/>
  <c r="DU27" i="1" s="1"/>
  <c r="DV27" i="1" s="1"/>
  <c r="DT5" i="1"/>
  <c r="DU5" i="1" s="1"/>
  <c r="DT18" i="1"/>
  <c r="DU18" i="1" s="1"/>
  <c r="DV18" i="1" s="1"/>
  <c r="DT19" i="1"/>
  <c r="DU19" i="1" s="1"/>
  <c r="DV19" i="1" s="1"/>
  <c r="DT34" i="1"/>
  <c r="DU34" i="1" s="1"/>
  <c r="DV34" i="1" s="1"/>
  <c r="DT17" i="1"/>
  <c r="DU17" i="1" s="1"/>
  <c r="DV17" i="1" s="1"/>
  <c r="DP40" i="3"/>
  <c r="DQ7" i="3"/>
  <c r="DQ40" i="3" s="1"/>
  <c r="DP41" i="3"/>
  <c r="DQ41" i="3" s="1"/>
  <c r="BN5" i="1"/>
  <c r="DV5" i="1" l="1"/>
  <c r="DU43" i="1"/>
  <c r="DV43" i="1" s="1"/>
  <c r="DU42" i="1"/>
  <c r="DV42" i="1" s="1"/>
  <c r="CA17" i="1"/>
  <c r="FJ25" i="1" l="1"/>
  <c r="FK25" i="1" l="1"/>
  <c r="FL25" i="1"/>
  <c r="FM25" i="1" s="1"/>
  <c r="FN25" i="1" s="1"/>
  <c r="FI25" i="1"/>
  <c r="FH6" i="1"/>
  <c r="FJ6" i="1" s="1"/>
  <c r="FH7" i="1"/>
  <c r="FJ7" i="1" s="1"/>
  <c r="FH8" i="1"/>
  <c r="FJ8" i="1" s="1"/>
  <c r="FH9" i="1"/>
  <c r="FJ9" i="1" s="1"/>
  <c r="FH10" i="1"/>
  <c r="FJ10" i="1" s="1"/>
  <c r="FH11" i="1"/>
  <c r="FJ11" i="1" s="1"/>
  <c r="FH12" i="1"/>
  <c r="FJ12" i="1" s="1"/>
  <c r="FH13" i="1"/>
  <c r="FJ13" i="1" s="1"/>
  <c r="FH14" i="1"/>
  <c r="FJ14" i="1" s="1"/>
  <c r="FH15" i="1"/>
  <c r="FJ15" i="1" s="1"/>
  <c r="FH16" i="1"/>
  <c r="FJ16" i="1" s="1"/>
  <c r="FH17" i="1"/>
  <c r="FJ17" i="1" s="1"/>
  <c r="FH18" i="1"/>
  <c r="FJ18" i="1" s="1"/>
  <c r="FH19" i="1"/>
  <c r="FJ19" i="1" s="1"/>
  <c r="FH20" i="1"/>
  <c r="FJ20" i="1" s="1"/>
  <c r="FH21" i="1"/>
  <c r="FJ21" i="1" s="1"/>
  <c r="FH22" i="1"/>
  <c r="FJ22" i="1" s="1"/>
  <c r="FH23" i="1"/>
  <c r="FJ23" i="1" s="1"/>
  <c r="FH24" i="1"/>
  <c r="FJ24" i="1" s="1"/>
  <c r="FH26" i="1"/>
  <c r="FJ26" i="1" s="1"/>
  <c r="FH27" i="1"/>
  <c r="FJ27" i="1" s="1"/>
  <c r="FH28" i="1"/>
  <c r="FJ28" i="1" s="1"/>
  <c r="FH29" i="1"/>
  <c r="FJ29" i="1" s="1"/>
  <c r="FH30" i="1"/>
  <c r="FJ30" i="1" s="1"/>
  <c r="FH31" i="1"/>
  <c r="FJ31" i="1" s="1"/>
  <c r="FH32" i="1"/>
  <c r="FJ32" i="1" s="1"/>
  <c r="FH33" i="1"/>
  <c r="FJ33" i="1" s="1"/>
  <c r="FH34" i="1"/>
  <c r="FJ34" i="1" s="1"/>
  <c r="FH35" i="1"/>
  <c r="FJ35" i="1" s="1"/>
  <c r="FH36" i="1"/>
  <c r="FJ36" i="1" s="1"/>
  <c r="FH37" i="1"/>
  <c r="FJ37" i="1" s="1"/>
  <c r="FH38" i="1"/>
  <c r="FJ38" i="1" s="1"/>
  <c r="FH39" i="1"/>
  <c r="FJ39" i="1" s="1"/>
  <c r="FH40" i="1"/>
  <c r="FJ40" i="1" s="1"/>
  <c r="FH41" i="1"/>
  <c r="FJ41" i="1" s="1"/>
  <c r="FH42" i="1"/>
  <c r="FJ42" i="1" s="1"/>
  <c r="FH43" i="1"/>
  <c r="FJ43" i="1" s="1"/>
  <c r="FH44" i="1"/>
  <c r="FJ44" i="1" s="1"/>
  <c r="FH45" i="1"/>
  <c r="FJ45" i="1" s="1"/>
  <c r="FH46" i="1"/>
  <c r="FJ46" i="1" s="1"/>
  <c r="FH47" i="1"/>
  <c r="FJ47" i="1" s="1"/>
  <c r="FH48" i="1"/>
  <c r="FJ48" i="1" s="1"/>
  <c r="FH49" i="1"/>
  <c r="FJ49" i="1" s="1"/>
  <c r="FH50" i="1"/>
  <c r="FJ50" i="1" s="1"/>
  <c r="FH51" i="1"/>
  <c r="FJ51" i="1" s="1"/>
  <c r="FH52" i="1"/>
  <c r="FJ52" i="1" s="1"/>
  <c r="FH53" i="1"/>
  <c r="FJ53" i="1" s="1"/>
  <c r="FH54" i="1"/>
  <c r="FJ54" i="1" s="1"/>
  <c r="FH5" i="1"/>
  <c r="FJ5" i="1" s="1"/>
  <c r="FL50" i="1" l="1"/>
  <c r="FM50" i="1" s="1"/>
  <c r="FN50" i="1" s="1"/>
  <c r="FK50" i="1"/>
  <c r="FK9" i="1"/>
  <c r="FL9" i="1"/>
  <c r="FM9" i="1" s="1"/>
  <c r="FN9" i="1" s="1"/>
  <c r="FK33" i="1"/>
  <c r="FL33" i="1"/>
  <c r="FM33" i="1" s="1"/>
  <c r="FN33" i="1" s="1"/>
  <c r="FL40" i="1"/>
  <c r="FM40" i="1" s="1"/>
  <c r="FN40" i="1" s="1"/>
  <c r="FK40" i="1"/>
  <c r="FL7" i="1"/>
  <c r="FM7" i="1" s="1"/>
  <c r="FN7" i="1" s="1"/>
  <c r="FK7" i="1"/>
  <c r="FL39" i="1"/>
  <c r="FM39" i="1" s="1"/>
  <c r="FN39" i="1" s="1"/>
  <c r="FK39" i="1"/>
  <c r="FL31" i="1"/>
  <c r="FM31" i="1" s="1"/>
  <c r="FN31" i="1" s="1"/>
  <c r="FK31" i="1"/>
  <c r="FL22" i="1"/>
  <c r="FM22" i="1" s="1"/>
  <c r="FN22" i="1" s="1"/>
  <c r="FK22" i="1"/>
  <c r="FL14" i="1"/>
  <c r="FM14" i="1" s="1"/>
  <c r="FN14" i="1" s="1"/>
  <c r="FK14" i="1"/>
  <c r="FL6" i="1"/>
  <c r="FM6" i="1" s="1"/>
  <c r="FN6" i="1" s="1"/>
  <c r="FK6" i="1"/>
  <c r="FK34" i="1"/>
  <c r="FL34" i="1"/>
  <c r="FM34" i="1" s="1"/>
  <c r="FN34" i="1" s="1"/>
  <c r="FL41" i="1"/>
  <c r="FM41" i="1" s="1"/>
  <c r="FN41" i="1" s="1"/>
  <c r="FK41" i="1"/>
  <c r="FK16" i="1"/>
  <c r="FL16" i="1"/>
  <c r="FM16" i="1" s="1"/>
  <c r="FN16" i="1" s="1"/>
  <c r="FL15" i="1"/>
  <c r="FM15" i="1" s="1"/>
  <c r="FN15" i="1" s="1"/>
  <c r="FK15" i="1"/>
  <c r="FL47" i="1"/>
  <c r="FM47" i="1" s="1"/>
  <c r="FN47" i="1" s="1"/>
  <c r="FK47" i="1"/>
  <c r="FL54" i="1"/>
  <c r="FM54" i="1" s="1"/>
  <c r="FN54" i="1" s="1"/>
  <c r="FK54" i="1"/>
  <c r="FL46" i="1"/>
  <c r="FM46" i="1" s="1"/>
  <c r="FN46" i="1" s="1"/>
  <c r="FK46" i="1"/>
  <c r="FL38" i="1"/>
  <c r="FM38" i="1" s="1"/>
  <c r="FN38" i="1" s="1"/>
  <c r="FK38" i="1"/>
  <c r="FL30" i="1"/>
  <c r="FM30" i="1" s="1"/>
  <c r="FN30" i="1" s="1"/>
  <c r="FK30" i="1"/>
  <c r="FL21" i="1"/>
  <c r="FM21" i="1" s="1"/>
  <c r="FN21" i="1" s="1"/>
  <c r="FK21" i="1"/>
  <c r="FL13" i="1"/>
  <c r="FM13" i="1" s="1"/>
  <c r="FN13" i="1" s="1"/>
  <c r="FK13" i="1"/>
  <c r="FK26" i="1"/>
  <c r="FL26" i="1"/>
  <c r="FM26" i="1" s="1"/>
  <c r="FN26" i="1" s="1"/>
  <c r="FK8" i="1"/>
  <c r="FL8" i="1"/>
  <c r="FM8" i="1" s="1"/>
  <c r="FN8" i="1" s="1"/>
  <c r="FL23" i="1"/>
  <c r="FM23" i="1" s="1"/>
  <c r="FN23" i="1" s="1"/>
  <c r="FK23" i="1"/>
  <c r="FL5" i="1"/>
  <c r="FM5" i="1" s="1"/>
  <c r="FN5" i="1" s="1"/>
  <c r="FK5" i="1"/>
  <c r="FL53" i="1"/>
  <c r="FM53" i="1" s="1"/>
  <c r="FN53" i="1" s="1"/>
  <c r="FK53" i="1"/>
  <c r="FL45" i="1"/>
  <c r="FM45" i="1" s="1"/>
  <c r="FN45" i="1" s="1"/>
  <c r="FK45" i="1"/>
  <c r="FL37" i="1"/>
  <c r="FM37" i="1" s="1"/>
  <c r="FN37" i="1" s="1"/>
  <c r="FK37" i="1"/>
  <c r="FL29" i="1"/>
  <c r="FM29" i="1" s="1"/>
  <c r="FN29" i="1" s="1"/>
  <c r="FK29" i="1"/>
  <c r="FK20" i="1"/>
  <c r="FL20" i="1"/>
  <c r="FM20" i="1" s="1"/>
  <c r="FN20" i="1" s="1"/>
  <c r="FK12" i="1"/>
  <c r="FL12" i="1"/>
  <c r="FM12" i="1" s="1"/>
  <c r="FN12" i="1" s="1"/>
  <c r="FK49" i="1"/>
  <c r="FL49" i="1"/>
  <c r="FM49" i="1" s="1"/>
  <c r="FN49" i="1" s="1"/>
  <c r="FK36" i="1"/>
  <c r="FL36" i="1"/>
  <c r="FM36" i="1" s="1"/>
  <c r="FN36" i="1" s="1"/>
  <c r="FK42" i="1"/>
  <c r="FL42" i="1"/>
  <c r="FM42" i="1" s="1"/>
  <c r="FN42" i="1" s="1"/>
  <c r="FK17" i="1"/>
  <c r="FL17" i="1"/>
  <c r="FM17" i="1" s="1"/>
  <c r="FN17" i="1" s="1"/>
  <c r="FL24" i="1"/>
  <c r="FM24" i="1" s="1"/>
  <c r="FN24" i="1" s="1"/>
  <c r="FK24" i="1"/>
  <c r="FK48" i="1"/>
  <c r="FL48" i="1"/>
  <c r="FM48" i="1" s="1"/>
  <c r="FN48" i="1" s="1"/>
  <c r="FL32" i="1"/>
  <c r="FM32" i="1" s="1"/>
  <c r="FN32" i="1" s="1"/>
  <c r="FK32" i="1"/>
  <c r="FK52" i="1"/>
  <c r="FL52" i="1"/>
  <c r="FM52" i="1" s="1"/>
  <c r="FN52" i="1" s="1"/>
  <c r="FK44" i="1"/>
  <c r="FL44" i="1"/>
  <c r="FM44" i="1" s="1"/>
  <c r="FN44" i="1" s="1"/>
  <c r="FK28" i="1"/>
  <c r="FL28" i="1"/>
  <c r="FM28" i="1" s="1"/>
  <c r="FN28" i="1" s="1"/>
  <c r="FL19" i="1"/>
  <c r="FM19" i="1" s="1"/>
  <c r="FN19" i="1" s="1"/>
  <c r="FK19" i="1"/>
  <c r="FK11" i="1"/>
  <c r="FL11" i="1"/>
  <c r="FM11" i="1" s="1"/>
  <c r="FN11" i="1" s="1"/>
  <c r="FK51" i="1"/>
  <c r="FL51" i="1"/>
  <c r="FM51" i="1" s="1"/>
  <c r="FN51" i="1" s="1"/>
  <c r="FK43" i="1"/>
  <c r="FL43" i="1"/>
  <c r="FM43" i="1" s="1"/>
  <c r="FN43" i="1" s="1"/>
  <c r="FK35" i="1"/>
  <c r="FL35" i="1"/>
  <c r="FM35" i="1" s="1"/>
  <c r="FN35" i="1" s="1"/>
  <c r="FL27" i="1"/>
  <c r="FM27" i="1" s="1"/>
  <c r="FN27" i="1" s="1"/>
  <c r="FK27" i="1"/>
  <c r="FL18" i="1"/>
  <c r="FM18" i="1" s="1"/>
  <c r="FN18" i="1" s="1"/>
  <c r="FK18" i="1"/>
  <c r="FK10" i="1"/>
  <c r="FL10" i="1"/>
  <c r="FM10" i="1" s="1"/>
  <c r="FN10" i="1" s="1"/>
  <c r="FI53" i="1"/>
  <c r="FI45" i="1"/>
  <c r="FI37" i="1"/>
  <c r="FI29" i="1"/>
  <c r="FI21" i="1"/>
  <c r="FI13" i="1"/>
  <c r="FI52" i="1"/>
  <c r="FI44" i="1"/>
  <c r="FI36" i="1"/>
  <c r="FI28" i="1"/>
  <c r="FI20" i="1"/>
  <c r="FI12" i="1"/>
  <c r="FI11" i="1"/>
  <c r="FI50" i="1"/>
  <c r="FI42" i="1"/>
  <c r="FI34" i="1"/>
  <c r="FI26" i="1"/>
  <c r="FI18" i="1"/>
  <c r="FI10" i="1"/>
  <c r="FI51" i="1"/>
  <c r="FI27" i="1"/>
  <c r="FI49" i="1"/>
  <c r="FI41" i="1"/>
  <c r="FI33" i="1"/>
  <c r="FI17" i="1"/>
  <c r="FI9" i="1"/>
  <c r="FI43" i="1"/>
  <c r="FH55" i="1"/>
  <c r="FI48" i="1"/>
  <c r="FI40" i="1"/>
  <c r="FI32" i="1"/>
  <c r="FI24" i="1"/>
  <c r="FI16" i="1"/>
  <c r="FI8" i="1"/>
  <c r="FI35" i="1"/>
  <c r="FI19" i="1"/>
  <c r="FI5" i="1"/>
  <c r="FI47" i="1"/>
  <c r="FI39" i="1"/>
  <c r="FI31" i="1"/>
  <c r="FI23" i="1"/>
  <c r="FI15" i="1"/>
  <c r="FI7" i="1"/>
  <c r="FI54" i="1"/>
  <c r="FI46" i="1"/>
  <c r="FI38" i="1"/>
  <c r="FI30" i="1"/>
  <c r="FI22" i="1"/>
  <c r="FI14" i="1"/>
  <c r="FI6" i="1"/>
  <c r="ES6" i="1"/>
  <c r="ES7" i="1"/>
  <c r="ES8" i="1"/>
  <c r="ES9" i="1"/>
  <c r="ES10" i="1"/>
  <c r="EU10" i="1" s="1"/>
  <c r="ES11" i="1"/>
  <c r="ES12" i="1"/>
  <c r="ES13" i="1"/>
  <c r="ES14" i="1"/>
  <c r="ES15" i="1"/>
  <c r="ES16" i="1"/>
  <c r="ES17" i="1"/>
  <c r="ES18" i="1"/>
  <c r="ES19" i="1"/>
  <c r="ES20" i="1"/>
  <c r="ES21" i="1"/>
  <c r="ES22" i="1"/>
  <c r="ES23" i="1"/>
  <c r="ES24" i="1"/>
  <c r="ES25" i="1"/>
  <c r="ES26" i="1"/>
  <c r="ES27" i="1"/>
  <c r="ES28" i="1"/>
  <c r="ES29" i="1"/>
  <c r="ES30" i="1"/>
  <c r="ES31" i="1"/>
  <c r="ES32" i="1"/>
  <c r="ES33" i="1"/>
  <c r="ES34" i="1"/>
  <c r="ES35" i="1"/>
  <c r="ES36" i="1"/>
  <c r="ES37" i="1"/>
  <c r="ES38" i="1"/>
  <c r="ES39" i="1"/>
  <c r="ES40" i="1"/>
  <c r="ES41" i="1"/>
  <c r="ES42" i="1"/>
  <c r="ES43" i="1"/>
  <c r="ES44" i="1"/>
  <c r="ES45" i="1"/>
  <c r="ES46" i="1"/>
  <c r="ES47" i="1"/>
  <c r="ES48" i="1"/>
  <c r="ES49" i="1"/>
  <c r="ES50" i="1"/>
  <c r="ES51" i="1"/>
  <c r="ES52" i="1"/>
  <c r="ES53" i="1"/>
  <c r="ES5" i="1"/>
  <c r="FN55" i="1" l="1"/>
  <c r="FM56" i="1"/>
  <c r="FN56" i="1" s="1"/>
  <c r="FM55" i="1"/>
  <c r="ET32" i="1"/>
  <c r="EU32" i="1"/>
  <c r="ET15" i="1"/>
  <c r="EU15" i="1"/>
  <c r="ET14" i="1"/>
  <c r="EU14" i="1"/>
  <c r="ET24" i="1"/>
  <c r="EU24" i="1"/>
  <c r="ET31" i="1"/>
  <c r="EU31" i="1"/>
  <c r="ET30" i="1"/>
  <c r="EU30" i="1"/>
  <c r="ET45" i="1"/>
  <c r="EU45" i="1"/>
  <c r="ET21" i="1"/>
  <c r="EU21" i="1"/>
  <c r="ET8" i="1"/>
  <c r="EU8" i="1"/>
  <c r="ET39" i="1"/>
  <c r="EU39" i="1"/>
  <c r="ET7" i="1"/>
  <c r="EU7" i="1"/>
  <c r="ET46" i="1"/>
  <c r="EU46" i="1"/>
  <c r="ET6" i="1"/>
  <c r="EU6" i="1"/>
  <c r="ET52" i="1"/>
  <c r="EU52" i="1"/>
  <c r="ET29" i="1"/>
  <c r="EU29" i="1"/>
  <c r="ET44" i="1"/>
  <c r="EU44" i="1"/>
  <c r="ET36" i="1"/>
  <c r="EU36" i="1"/>
  <c r="ET28" i="1"/>
  <c r="EU28" i="1"/>
  <c r="ET20" i="1"/>
  <c r="EU20" i="1"/>
  <c r="ET12" i="1"/>
  <c r="EU12" i="1"/>
  <c r="ET5" i="1"/>
  <c r="EU5" i="1"/>
  <c r="ET23" i="1"/>
  <c r="EU23" i="1"/>
  <c r="ET53" i="1"/>
  <c r="EU53" i="1"/>
  <c r="ET38" i="1"/>
  <c r="EU38" i="1"/>
  <c r="ET37" i="1"/>
  <c r="EU37" i="1"/>
  <c r="ET13" i="1"/>
  <c r="EU13" i="1"/>
  <c r="ET51" i="1"/>
  <c r="EU51" i="1"/>
  <c r="ET43" i="1"/>
  <c r="EU43" i="1"/>
  <c r="ET35" i="1"/>
  <c r="EU35" i="1"/>
  <c r="ET27" i="1"/>
  <c r="EU27" i="1"/>
  <c r="ET19" i="1"/>
  <c r="EU19" i="1"/>
  <c r="ET11" i="1"/>
  <c r="EU11" i="1"/>
  <c r="ET40" i="1"/>
  <c r="EU40" i="1"/>
  <c r="ET47" i="1"/>
  <c r="EU47" i="1"/>
  <c r="ET22" i="1"/>
  <c r="EU22" i="1"/>
  <c r="ET34" i="1"/>
  <c r="EU34" i="1"/>
  <c r="ET18" i="1"/>
  <c r="EU18" i="1"/>
  <c r="ET48" i="1"/>
  <c r="EU48" i="1"/>
  <c r="ET16" i="1"/>
  <c r="EU16" i="1"/>
  <c r="ET50" i="1"/>
  <c r="EU50" i="1"/>
  <c r="ET42" i="1"/>
  <c r="EU42" i="1"/>
  <c r="ET26" i="1"/>
  <c r="EU26" i="1"/>
  <c r="EV10" i="1"/>
  <c r="EW10" i="1"/>
  <c r="EX10" i="1" s="1"/>
  <c r="EY10" i="1" s="1"/>
  <c r="ET49" i="1"/>
  <c r="EU49" i="1"/>
  <c r="ET41" i="1"/>
  <c r="EU41" i="1"/>
  <c r="ET33" i="1"/>
  <c r="EU33" i="1"/>
  <c r="ET25" i="1"/>
  <c r="EU25" i="1"/>
  <c r="ET17" i="1"/>
  <c r="EU17" i="1"/>
  <c r="ET9" i="1"/>
  <c r="EU9" i="1"/>
  <c r="ET10" i="1"/>
  <c r="ED6" i="1"/>
  <c r="ED7" i="1"/>
  <c r="ED8" i="1"/>
  <c r="ED9" i="1"/>
  <c r="ED10" i="1"/>
  <c r="ED11" i="1"/>
  <c r="ED12" i="1"/>
  <c r="ED13" i="1"/>
  <c r="ED14" i="1"/>
  <c r="ED15" i="1"/>
  <c r="ED16" i="1"/>
  <c r="ED17" i="1"/>
  <c r="ED18" i="1"/>
  <c r="ED19" i="1"/>
  <c r="ED20" i="1"/>
  <c r="ED21" i="1"/>
  <c r="ED22" i="1"/>
  <c r="ED23" i="1"/>
  <c r="ED24" i="1"/>
  <c r="ED25" i="1"/>
  <c r="ED26" i="1"/>
  <c r="ED27" i="1"/>
  <c r="ED28" i="1"/>
  <c r="ED29" i="1"/>
  <c r="ED30" i="1"/>
  <c r="ED31" i="1"/>
  <c r="ED32" i="1"/>
  <c r="ED33" i="1"/>
  <c r="ED34" i="1"/>
  <c r="ED35" i="1"/>
  <c r="ED36" i="1"/>
  <c r="ED37" i="1"/>
  <c r="ED38" i="1"/>
  <c r="ED39" i="1"/>
  <c r="ED40" i="1"/>
  <c r="ED41" i="1"/>
  <c r="ED42" i="1"/>
  <c r="ED43" i="1"/>
  <c r="ED44" i="1"/>
  <c r="ED45" i="1"/>
  <c r="ED46" i="1"/>
  <c r="ED47" i="1"/>
  <c r="ED48" i="1"/>
  <c r="ED49" i="1"/>
  <c r="ED50" i="1"/>
  <c r="ED51" i="1"/>
  <c r="ED52" i="1"/>
  <c r="ED5" i="1"/>
  <c r="FB5" i="3"/>
  <c r="FD5" i="3" s="1"/>
  <c r="FB6" i="3"/>
  <c r="FD6" i="3" s="1"/>
  <c r="FB7" i="3"/>
  <c r="FD7" i="3" s="1"/>
  <c r="FB8" i="3"/>
  <c r="FD8" i="3" s="1"/>
  <c r="FB9" i="3"/>
  <c r="FD9" i="3" s="1"/>
  <c r="FB10" i="3"/>
  <c r="FD10" i="3" s="1"/>
  <c r="FB11" i="3"/>
  <c r="FD11" i="3" s="1"/>
  <c r="FB12" i="3"/>
  <c r="FD12" i="3" s="1"/>
  <c r="FB13" i="3"/>
  <c r="FD13" i="3" s="1"/>
  <c r="FB14" i="3"/>
  <c r="FD14" i="3" s="1"/>
  <c r="FB15" i="3"/>
  <c r="FD15" i="3" s="1"/>
  <c r="FB16" i="3"/>
  <c r="FD16" i="3" s="1"/>
  <c r="FB17" i="3"/>
  <c r="FD17" i="3" s="1"/>
  <c r="FB18" i="3"/>
  <c r="FD18" i="3" s="1"/>
  <c r="FB19" i="3"/>
  <c r="FD19" i="3" s="1"/>
  <c r="FB20" i="3"/>
  <c r="FD20" i="3" s="1"/>
  <c r="FB21" i="3"/>
  <c r="FD21" i="3" s="1"/>
  <c r="FB22" i="3"/>
  <c r="FD22" i="3" s="1"/>
  <c r="FB23" i="3"/>
  <c r="FD23" i="3" s="1"/>
  <c r="FB24" i="3"/>
  <c r="FD24" i="3" s="1"/>
  <c r="FB25" i="3"/>
  <c r="FD25" i="3" s="1"/>
  <c r="FB26" i="3"/>
  <c r="FD26" i="3" s="1"/>
  <c r="FB27" i="3"/>
  <c r="FD27" i="3" s="1"/>
  <c r="FB28" i="3"/>
  <c r="FD28" i="3" s="1"/>
  <c r="FB29" i="3"/>
  <c r="FD29" i="3" s="1"/>
  <c r="FB30" i="3"/>
  <c r="FD30" i="3" s="1"/>
  <c r="FB31" i="3"/>
  <c r="FD31" i="3" s="1"/>
  <c r="FB32" i="3"/>
  <c r="FD32" i="3" s="1"/>
  <c r="FB33" i="3"/>
  <c r="FD33" i="3" s="1"/>
  <c r="FB34" i="3"/>
  <c r="FD34" i="3" s="1"/>
  <c r="FB35" i="3"/>
  <c r="FD35" i="3" s="1"/>
  <c r="FB36" i="3"/>
  <c r="FD36" i="3" s="1"/>
  <c r="FB37" i="3"/>
  <c r="FD37" i="3" s="1"/>
  <c r="FB38" i="3"/>
  <c r="FD38" i="3" s="1"/>
  <c r="FB39" i="3"/>
  <c r="FD39" i="3" s="1"/>
  <c r="FB40" i="3"/>
  <c r="FD40" i="3" s="1"/>
  <c r="FB41" i="3"/>
  <c r="FD41" i="3" s="1"/>
  <c r="FB42" i="3"/>
  <c r="FD42" i="3" s="1"/>
  <c r="FB43" i="3"/>
  <c r="FD43" i="3" s="1"/>
  <c r="FB44" i="3"/>
  <c r="FD44" i="3" s="1"/>
  <c r="FB45" i="3"/>
  <c r="FD45" i="3" s="1"/>
  <c r="FB46" i="3"/>
  <c r="FD46" i="3" s="1"/>
  <c r="FB47" i="3"/>
  <c r="FD47" i="3" s="1"/>
  <c r="FB48" i="3"/>
  <c r="FD48" i="3" s="1"/>
  <c r="FB4" i="3"/>
  <c r="FD4" i="3" s="1"/>
  <c r="EM5" i="3"/>
  <c r="EM6" i="3"/>
  <c r="EM7" i="3"/>
  <c r="EM8" i="3"/>
  <c r="EM9" i="3"/>
  <c r="EM10" i="3"/>
  <c r="EM11" i="3"/>
  <c r="EM12" i="3"/>
  <c r="EM13" i="3"/>
  <c r="EM14" i="3"/>
  <c r="EM15" i="3"/>
  <c r="EM16" i="3"/>
  <c r="EM17" i="3"/>
  <c r="EM18" i="3"/>
  <c r="EM19" i="3"/>
  <c r="EM20" i="3"/>
  <c r="EM21" i="3"/>
  <c r="EM22" i="3"/>
  <c r="EM23" i="3"/>
  <c r="EM24" i="3"/>
  <c r="EM25" i="3"/>
  <c r="EM26" i="3"/>
  <c r="EM27" i="3"/>
  <c r="EM28" i="3"/>
  <c r="EM29" i="3"/>
  <c r="EM30" i="3"/>
  <c r="EM31" i="3"/>
  <c r="EM32" i="3"/>
  <c r="EM33" i="3"/>
  <c r="EM34" i="3"/>
  <c r="EM35" i="3"/>
  <c r="EM36" i="3"/>
  <c r="EM37" i="3"/>
  <c r="EM38" i="3"/>
  <c r="EM39" i="3"/>
  <c r="EM40" i="3"/>
  <c r="EM41" i="3"/>
  <c r="EM42" i="3"/>
  <c r="EM43" i="3"/>
  <c r="EM44" i="3"/>
  <c r="EM45" i="3"/>
  <c r="EM46" i="3"/>
  <c r="EM47" i="3"/>
  <c r="EM4" i="3"/>
  <c r="DZ5" i="3"/>
  <c r="DZ6" i="3"/>
  <c r="DZ7" i="3"/>
  <c r="DZ8" i="3"/>
  <c r="DZ9" i="3"/>
  <c r="DZ10" i="3"/>
  <c r="DZ11" i="3"/>
  <c r="DZ12" i="3"/>
  <c r="DZ13" i="3"/>
  <c r="DZ14" i="3"/>
  <c r="DZ15" i="3"/>
  <c r="DZ16" i="3"/>
  <c r="DZ17" i="3"/>
  <c r="DZ18" i="3"/>
  <c r="DZ19" i="3"/>
  <c r="DZ20" i="3"/>
  <c r="DZ21" i="3"/>
  <c r="DZ22" i="3"/>
  <c r="DZ23" i="3"/>
  <c r="DZ24" i="3"/>
  <c r="DZ25" i="3"/>
  <c r="DZ26" i="3"/>
  <c r="DZ27" i="3"/>
  <c r="DZ28" i="3"/>
  <c r="DZ29" i="3"/>
  <c r="DZ30" i="3"/>
  <c r="DZ31" i="3"/>
  <c r="DZ32" i="3"/>
  <c r="DZ33" i="3"/>
  <c r="DZ34" i="3"/>
  <c r="DZ35" i="3"/>
  <c r="DZ36" i="3"/>
  <c r="DZ37" i="3"/>
  <c r="DZ38" i="3"/>
  <c r="DZ39" i="3"/>
  <c r="DZ40" i="3"/>
  <c r="DZ41" i="3"/>
  <c r="DZ42" i="3"/>
  <c r="DZ43" i="3"/>
  <c r="DZ44" i="3"/>
  <c r="DZ45" i="3"/>
  <c r="DZ4" i="3"/>
  <c r="FC37" i="3" l="1"/>
  <c r="FC45" i="3"/>
  <c r="FC32" i="3"/>
  <c r="FC9" i="3"/>
  <c r="FC4" i="3"/>
  <c r="FC29" i="3"/>
  <c r="FC8" i="3"/>
  <c r="FC48" i="3"/>
  <c r="FC25" i="3"/>
  <c r="FC5" i="3"/>
  <c r="FC24" i="3"/>
  <c r="FC41" i="3"/>
  <c r="FC21" i="3"/>
  <c r="FC40" i="3"/>
  <c r="FC17" i="3"/>
  <c r="FC16" i="3"/>
  <c r="FC33" i="3"/>
  <c r="FC13" i="3"/>
  <c r="EA10" i="3"/>
  <c r="EB10" i="3"/>
  <c r="EN6" i="3"/>
  <c r="EO6" i="3"/>
  <c r="EA17" i="3"/>
  <c r="EB17" i="3"/>
  <c r="EN45" i="3"/>
  <c r="EO45" i="3"/>
  <c r="EN29" i="3"/>
  <c r="EO29" i="3"/>
  <c r="EN13" i="3"/>
  <c r="EO13" i="3"/>
  <c r="FF34" i="3"/>
  <c r="FG34" i="3" s="1"/>
  <c r="FH34" i="3" s="1"/>
  <c r="FE34" i="3"/>
  <c r="FF18" i="3"/>
  <c r="FG18" i="3" s="1"/>
  <c r="FH18" i="3" s="1"/>
  <c r="FE18" i="3"/>
  <c r="EA32" i="3"/>
  <c r="EB32" i="3"/>
  <c r="EA16" i="3"/>
  <c r="EB16" i="3"/>
  <c r="EA8" i="3"/>
  <c r="EB8" i="3"/>
  <c r="EN44" i="3"/>
  <c r="EO44" i="3"/>
  <c r="EN36" i="3"/>
  <c r="EO36" i="3"/>
  <c r="EN28" i="3"/>
  <c r="EO28" i="3"/>
  <c r="EN20" i="3"/>
  <c r="EO20" i="3"/>
  <c r="EN12" i="3"/>
  <c r="EO12" i="3"/>
  <c r="FF4" i="3"/>
  <c r="FG4" i="3" s="1"/>
  <c r="FH4" i="3" s="1"/>
  <c r="FE4" i="3"/>
  <c r="FF41" i="3"/>
  <c r="FG41" i="3" s="1"/>
  <c r="FH41" i="3" s="1"/>
  <c r="FE41" i="3"/>
  <c r="FF33" i="3"/>
  <c r="FG33" i="3" s="1"/>
  <c r="FH33" i="3" s="1"/>
  <c r="FE33" i="3"/>
  <c r="FF25" i="3"/>
  <c r="FG25" i="3" s="1"/>
  <c r="FH25" i="3" s="1"/>
  <c r="FE25" i="3"/>
  <c r="FF17" i="3"/>
  <c r="FG17" i="3" s="1"/>
  <c r="FH17" i="3" s="1"/>
  <c r="FE17" i="3"/>
  <c r="FF9" i="3"/>
  <c r="FG9" i="3" s="1"/>
  <c r="FH9" i="3" s="1"/>
  <c r="FE9" i="3"/>
  <c r="FC47" i="3"/>
  <c r="FC39" i="3"/>
  <c r="FC31" i="3"/>
  <c r="FC23" i="3"/>
  <c r="FC15" i="3"/>
  <c r="FC7" i="3"/>
  <c r="EA26" i="3"/>
  <c r="EB26" i="3"/>
  <c r="EN30" i="3"/>
  <c r="EO30" i="3"/>
  <c r="FE35" i="3"/>
  <c r="FF35" i="3"/>
  <c r="FG35" i="3" s="1"/>
  <c r="FH35" i="3" s="1"/>
  <c r="EA25" i="3"/>
  <c r="EB25" i="3"/>
  <c r="EA9" i="3"/>
  <c r="EB9" i="3"/>
  <c r="EN37" i="3"/>
  <c r="EO37" i="3"/>
  <c r="EN21" i="3"/>
  <c r="EO21" i="3"/>
  <c r="EN5" i="3"/>
  <c r="EO5" i="3"/>
  <c r="FF42" i="3"/>
  <c r="FG42" i="3" s="1"/>
  <c r="FH42" i="3" s="1"/>
  <c r="FE42" i="3"/>
  <c r="FF26" i="3"/>
  <c r="FG26" i="3" s="1"/>
  <c r="FH26" i="3" s="1"/>
  <c r="FE26" i="3"/>
  <c r="FF10" i="3"/>
  <c r="FG10" i="3" s="1"/>
  <c r="FH10" i="3" s="1"/>
  <c r="FE10" i="3"/>
  <c r="EA40" i="3"/>
  <c r="EB40" i="3"/>
  <c r="EA24" i="3"/>
  <c r="EB24" i="3"/>
  <c r="EA39" i="3"/>
  <c r="EB39" i="3"/>
  <c r="EA31" i="3"/>
  <c r="EB31" i="3"/>
  <c r="EA23" i="3"/>
  <c r="EB23" i="3"/>
  <c r="EA15" i="3"/>
  <c r="EB15" i="3"/>
  <c r="EA7" i="3"/>
  <c r="EB7" i="3"/>
  <c r="EN43" i="3"/>
  <c r="EO43" i="3"/>
  <c r="EN35" i="3"/>
  <c r="EO35" i="3"/>
  <c r="EN27" i="3"/>
  <c r="EO27" i="3"/>
  <c r="EN19" i="3"/>
  <c r="EO19" i="3"/>
  <c r="EN11" i="3"/>
  <c r="EO11" i="3"/>
  <c r="FF48" i="3"/>
  <c r="FG48" i="3" s="1"/>
  <c r="FH48" i="3" s="1"/>
  <c r="FE48" i="3"/>
  <c r="FF40" i="3"/>
  <c r="FG40" i="3" s="1"/>
  <c r="FH40" i="3" s="1"/>
  <c r="FE40" i="3"/>
  <c r="FF32" i="3"/>
  <c r="FG32" i="3" s="1"/>
  <c r="FH32" i="3" s="1"/>
  <c r="FE32" i="3"/>
  <c r="FF24" i="3"/>
  <c r="FG24" i="3" s="1"/>
  <c r="FH24" i="3" s="1"/>
  <c r="FE24" i="3"/>
  <c r="FF16" i="3"/>
  <c r="FG16" i="3" s="1"/>
  <c r="FH16" i="3" s="1"/>
  <c r="FE16" i="3"/>
  <c r="FF8" i="3"/>
  <c r="FG8" i="3" s="1"/>
  <c r="FH8" i="3" s="1"/>
  <c r="FE8" i="3"/>
  <c r="FC46" i="3"/>
  <c r="FC38" i="3"/>
  <c r="FC30" i="3"/>
  <c r="FC22" i="3"/>
  <c r="FC14" i="3"/>
  <c r="FC6" i="3"/>
  <c r="EA34" i="3"/>
  <c r="EB34" i="3"/>
  <c r="EN46" i="3"/>
  <c r="EO46" i="3"/>
  <c r="EN22" i="3"/>
  <c r="EO22" i="3"/>
  <c r="FE43" i="3"/>
  <c r="FF43" i="3"/>
  <c r="FG43" i="3" s="1"/>
  <c r="FH43" i="3" s="1"/>
  <c r="FE11" i="3"/>
  <c r="FF11" i="3"/>
  <c r="FG11" i="3" s="1"/>
  <c r="FH11" i="3" s="1"/>
  <c r="EA33" i="3"/>
  <c r="EB33" i="3"/>
  <c r="EA38" i="3"/>
  <c r="EB38" i="3"/>
  <c r="EA22" i="3"/>
  <c r="EB22" i="3"/>
  <c r="EN42" i="3"/>
  <c r="EO42" i="3"/>
  <c r="EN18" i="3"/>
  <c r="EO18" i="3"/>
  <c r="FE47" i="3"/>
  <c r="FF47" i="3"/>
  <c r="FG47" i="3" s="1"/>
  <c r="FH47" i="3" s="1"/>
  <c r="FE15" i="3"/>
  <c r="FF15" i="3"/>
  <c r="FG15" i="3" s="1"/>
  <c r="FH15" i="3" s="1"/>
  <c r="EA45" i="3"/>
  <c r="EB45" i="3"/>
  <c r="EA37" i="3"/>
  <c r="EB37" i="3"/>
  <c r="EA29" i="3"/>
  <c r="EB29" i="3"/>
  <c r="EA21" i="3"/>
  <c r="EB21" i="3"/>
  <c r="EA13" i="3"/>
  <c r="EB13" i="3"/>
  <c r="EA5" i="3"/>
  <c r="EB5" i="3"/>
  <c r="EN41" i="3"/>
  <c r="EO41" i="3"/>
  <c r="EN33" i="3"/>
  <c r="EO33" i="3"/>
  <c r="EN25" i="3"/>
  <c r="EO25" i="3"/>
  <c r="EN17" i="3"/>
  <c r="EO17" i="3"/>
  <c r="EN9" i="3"/>
  <c r="EO9" i="3"/>
  <c r="FE46" i="3"/>
  <c r="FF46" i="3"/>
  <c r="FG46" i="3" s="1"/>
  <c r="FH46" i="3" s="1"/>
  <c r="FE38" i="3"/>
  <c r="FF38" i="3"/>
  <c r="FG38" i="3" s="1"/>
  <c r="FH38" i="3" s="1"/>
  <c r="FE30" i="3"/>
  <c r="FF30" i="3"/>
  <c r="FG30" i="3" s="1"/>
  <c r="FH30" i="3" s="1"/>
  <c r="FE22" i="3"/>
  <c r="FF22" i="3"/>
  <c r="FG22" i="3" s="1"/>
  <c r="FH22" i="3" s="1"/>
  <c r="FE14" i="3"/>
  <c r="FF14" i="3"/>
  <c r="FG14" i="3" s="1"/>
  <c r="FH14" i="3" s="1"/>
  <c r="FE6" i="3"/>
  <c r="FF6" i="3"/>
  <c r="FG6" i="3" s="1"/>
  <c r="FH6" i="3" s="1"/>
  <c r="FC44" i="3"/>
  <c r="FC36" i="3"/>
  <c r="FC28" i="3"/>
  <c r="FC20" i="3"/>
  <c r="FC12" i="3"/>
  <c r="EA18" i="3"/>
  <c r="EB18" i="3"/>
  <c r="EN14" i="3"/>
  <c r="EO14" i="3"/>
  <c r="FE19" i="3"/>
  <c r="FF19" i="3"/>
  <c r="FG19" i="3" s="1"/>
  <c r="FH19" i="3" s="1"/>
  <c r="EA41" i="3"/>
  <c r="EB41" i="3"/>
  <c r="EA30" i="3"/>
  <c r="EB30" i="3"/>
  <c r="EA6" i="3"/>
  <c r="EB6" i="3"/>
  <c r="EN34" i="3"/>
  <c r="EO34" i="3"/>
  <c r="EN10" i="3"/>
  <c r="EO10" i="3"/>
  <c r="FE31" i="3"/>
  <c r="FF31" i="3"/>
  <c r="FG31" i="3" s="1"/>
  <c r="FH31" i="3" s="1"/>
  <c r="FE23" i="3"/>
  <c r="FF23" i="3"/>
  <c r="FG23" i="3" s="1"/>
  <c r="FH23" i="3" s="1"/>
  <c r="EA36" i="3"/>
  <c r="EB36" i="3"/>
  <c r="EA28" i="3"/>
  <c r="EB28" i="3"/>
  <c r="EA20" i="3"/>
  <c r="EB20" i="3"/>
  <c r="EA12" i="3"/>
  <c r="EB12" i="3"/>
  <c r="EN4" i="3"/>
  <c r="EO4" i="3"/>
  <c r="EN40" i="3"/>
  <c r="EO40" i="3"/>
  <c r="EN32" i="3"/>
  <c r="EO32" i="3"/>
  <c r="EN24" i="3"/>
  <c r="EO24" i="3"/>
  <c r="EN16" i="3"/>
  <c r="EO16" i="3"/>
  <c r="EN8" i="3"/>
  <c r="EO8" i="3"/>
  <c r="FE45" i="3"/>
  <c r="FF45" i="3"/>
  <c r="FG45" i="3" s="1"/>
  <c r="FH45" i="3" s="1"/>
  <c r="FE37" i="3"/>
  <c r="FF37" i="3"/>
  <c r="FG37" i="3" s="1"/>
  <c r="FH37" i="3" s="1"/>
  <c r="FE29" i="3"/>
  <c r="FF29" i="3"/>
  <c r="FG29" i="3" s="1"/>
  <c r="FH29" i="3" s="1"/>
  <c r="FE21" i="3"/>
  <c r="FF21" i="3"/>
  <c r="FG21" i="3" s="1"/>
  <c r="FH21" i="3" s="1"/>
  <c r="FE13" i="3"/>
  <c r="FF13" i="3"/>
  <c r="FG13" i="3" s="1"/>
  <c r="FH13" i="3" s="1"/>
  <c r="FE5" i="3"/>
  <c r="FF5" i="3"/>
  <c r="FG5" i="3" s="1"/>
  <c r="FH5" i="3" s="1"/>
  <c r="FC43" i="3"/>
  <c r="FC35" i="3"/>
  <c r="FC27" i="3"/>
  <c r="FC19" i="3"/>
  <c r="FC11" i="3"/>
  <c r="EA42" i="3"/>
  <c r="EB42" i="3"/>
  <c r="EN38" i="3"/>
  <c r="EO38" i="3"/>
  <c r="FE27" i="3"/>
  <c r="FF27" i="3"/>
  <c r="FG27" i="3" s="1"/>
  <c r="FH27" i="3" s="1"/>
  <c r="EB4" i="3"/>
  <c r="EA4" i="3"/>
  <c r="EA14" i="3"/>
  <c r="EB14" i="3"/>
  <c r="EN26" i="3"/>
  <c r="EO26" i="3"/>
  <c r="FE39" i="3"/>
  <c r="FF39" i="3"/>
  <c r="FG39" i="3" s="1"/>
  <c r="FH39" i="3" s="1"/>
  <c r="FE7" i="3"/>
  <c r="FF7" i="3"/>
  <c r="FG7" i="3" s="1"/>
  <c r="FH7" i="3" s="1"/>
  <c r="EA44" i="3"/>
  <c r="EB44" i="3"/>
  <c r="EA43" i="3"/>
  <c r="EB43" i="3"/>
  <c r="EA35" i="3"/>
  <c r="EB35" i="3"/>
  <c r="EA27" i="3"/>
  <c r="EB27" i="3"/>
  <c r="EA19" i="3"/>
  <c r="EB19" i="3"/>
  <c r="EA11" i="3"/>
  <c r="EB11" i="3"/>
  <c r="EN47" i="3"/>
  <c r="EO47" i="3"/>
  <c r="EN39" i="3"/>
  <c r="EO39" i="3"/>
  <c r="EN31" i="3"/>
  <c r="EO31" i="3"/>
  <c r="EN23" i="3"/>
  <c r="EO23" i="3"/>
  <c r="EN15" i="3"/>
  <c r="EO15" i="3"/>
  <c r="EN7" i="3"/>
  <c r="EO7" i="3"/>
  <c r="FE44" i="3"/>
  <c r="FF44" i="3"/>
  <c r="FG44" i="3" s="1"/>
  <c r="FH44" i="3" s="1"/>
  <c r="FE36" i="3"/>
  <c r="FF36" i="3"/>
  <c r="FG36" i="3" s="1"/>
  <c r="FH36" i="3" s="1"/>
  <c r="FE28" i="3"/>
  <c r="FF28" i="3"/>
  <c r="FG28" i="3" s="1"/>
  <c r="FH28" i="3" s="1"/>
  <c r="FE20" i="3"/>
  <c r="FF20" i="3"/>
  <c r="FG20" i="3" s="1"/>
  <c r="FH20" i="3" s="1"/>
  <c r="FE12" i="3"/>
  <c r="FF12" i="3"/>
  <c r="FG12" i="3" s="1"/>
  <c r="FH12" i="3" s="1"/>
  <c r="FB49" i="3"/>
  <c r="FC42" i="3"/>
  <c r="FC34" i="3"/>
  <c r="FC26" i="3"/>
  <c r="FC18" i="3"/>
  <c r="FC10" i="3"/>
  <c r="ES54" i="1"/>
  <c r="EW33" i="1"/>
  <c r="EX33" i="1" s="1"/>
  <c r="EY33" i="1" s="1"/>
  <c r="EV33" i="1"/>
  <c r="EW26" i="1"/>
  <c r="EX26" i="1" s="1"/>
  <c r="EY26" i="1" s="1"/>
  <c r="EV26" i="1"/>
  <c r="EW48" i="1"/>
  <c r="EX48" i="1" s="1"/>
  <c r="EY48" i="1" s="1"/>
  <c r="EV48" i="1"/>
  <c r="EW47" i="1"/>
  <c r="EX47" i="1" s="1"/>
  <c r="EY47" i="1" s="1"/>
  <c r="EV47" i="1"/>
  <c r="EW27" i="1"/>
  <c r="EX27" i="1" s="1"/>
  <c r="EY27" i="1" s="1"/>
  <c r="EV27" i="1"/>
  <c r="EV13" i="1"/>
  <c r="EW13" i="1"/>
  <c r="EX13" i="1" s="1"/>
  <c r="EY13" i="1" s="1"/>
  <c r="EW23" i="1"/>
  <c r="EX23" i="1" s="1"/>
  <c r="EY23" i="1" s="1"/>
  <c r="EV23" i="1"/>
  <c r="EW28" i="1"/>
  <c r="EX28" i="1" s="1"/>
  <c r="EY28" i="1" s="1"/>
  <c r="EV28" i="1"/>
  <c r="EV29" i="1"/>
  <c r="EW29" i="1"/>
  <c r="EX29" i="1" s="1"/>
  <c r="EY29" i="1" s="1"/>
  <c r="EW7" i="1"/>
  <c r="EX7" i="1" s="1"/>
  <c r="EY7" i="1" s="1"/>
  <c r="EV7" i="1"/>
  <c r="EV45" i="1"/>
  <c r="EW45" i="1"/>
  <c r="EX45" i="1" s="1"/>
  <c r="EY45" i="1" s="1"/>
  <c r="EV14" i="1"/>
  <c r="EW14" i="1"/>
  <c r="EX14" i="1" s="1"/>
  <c r="EY14" i="1" s="1"/>
  <c r="EV42" i="1"/>
  <c r="EW42" i="1"/>
  <c r="EX42" i="1" s="1"/>
  <c r="EY42" i="1" s="1"/>
  <c r="EV18" i="1"/>
  <c r="EW18" i="1"/>
  <c r="EX18" i="1" s="1"/>
  <c r="EY18" i="1" s="1"/>
  <c r="EW40" i="1"/>
  <c r="EX40" i="1" s="1"/>
  <c r="EY40" i="1" s="1"/>
  <c r="EV40" i="1"/>
  <c r="EV35" i="1"/>
  <c r="EW35" i="1"/>
  <c r="EX35" i="1" s="1"/>
  <c r="EY35" i="1" s="1"/>
  <c r="EV37" i="1"/>
  <c r="EW37" i="1"/>
  <c r="EX37" i="1" s="1"/>
  <c r="EY37" i="1" s="1"/>
  <c r="EW5" i="1"/>
  <c r="EX5" i="1" s="1"/>
  <c r="EY5" i="1" s="1"/>
  <c r="EV5" i="1"/>
  <c r="EW36" i="1"/>
  <c r="EX36" i="1" s="1"/>
  <c r="EY36" i="1" s="1"/>
  <c r="EV36" i="1"/>
  <c r="EV52" i="1"/>
  <c r="EW52" i="1"/>
  <c r="EX52" i="1" s="1"/>
  <c r="EY52" i="1" s="1"/>
  <c r="EW39" i="1"/>
  <c r="EX39" i="1" s="1"/>
  <c r="EY39" i="1" s="1"/>
  <c r="EV39" i="1"/>
  <c r="EV30" i="1"/>
  <c r="EW30" i="1"/>
  <c r="EX30" i="1" s="1"/>
  <c r="EY30" i="1" s="1"/>
  <c r="EW15" i="1"/>
  <c r="EX15" i="1" s="1"/>
  <c r="EY15" i="1" s="1"/>
  <c r="EV15" i="1"/>
  <c r="EV41" i="1"/>
  <c r="EW41" i="1"/>
  <c r="EX41" i="1" s="1"/>
  <c r="EY41" i="1" s="1"/>
  <c r="EV17" i="1"/>
  <c r="EW17" i="1"/>
  <c r="EX17" i="1" s="1"/>
  <c r="EY17" i="1" s="1"/>
  <c r="EW49" i="1"/>
  <c r="EX49" i="1" s="1"/>
  <c r="EY49" i="1" s="1"/>
  <c r="EV49" i="1"/>
  <c r="EW50" i="1"/>
  <c r="EX50" i="1" s="1"/>
  <c r="EY50" i="1" s="1"/>
  <c r="EV50" i="1"/>
  <c r="EV34" i="1"/>
  <c r="EW34" i="1"/>
  <c r="EX34" i="1" s="1"/>
  <c r="EY34" i="1" s="1"/>
  <c r="EV11" i="1"/>
  <c r="EW11" i="1"/>
  <c r="EX11" i="1" s="1"/>
  <c r="EY11" i="1" s="1"/>
  <c r="EW43" i="1"/>
  <c r="EX43" i="1" s="1"/>
  <c r="EY43" i="1" s="1"/>
  <c r="EV43" i="1"/>
  <c r="EW38" i="1"/>
  <c r="EX38" i="1" s="1"/>
  <c r="EY38" i="1" s="1"/>
  <c r="EV38" i="1"/>
  <c r="EW12" i="1"/>
  <c r="EX12" i="1" s="1"/>
  <c r="EY12" i="1" s="1"/>
  <c r="EV12" i="1"/>
  <c r="EW44" i="1"/>
  <c r="EX44" i="1" s="1"/>
  <c r="EY44" i="1" s="1"/>
  <c r="EV44" i="1"/>
  <c r="EW6" i="1"/>
  <c r="EX6" i="1" s="1"/>
  <c r="EY6" i="1" s="1"/>
  <c r="EV6" i="1"/>
  <c r="EW8" i="1"/>
  <c r="EX8" i="1" s="1"/>
  <c r="EY8" i="1" s="1"/>
  <c r="EV8" i="1"/>
  <c r="EW31" i="1"/>
  <c r="EX31" i="1" s="1"/>
  <c r="EY31" i="1" s="1"/>
  <c r="EV31" i="1"/>
  <c r="EW32" i="1"/>
  <c r="EX32" i="1" s="1"/>
  <c r="EY32" i="1" s="1"/>
  <c r="EV32" i="1"/>
  <c r="EW25" i="1"/>
  <c r="EX25" i="1" s="1"/>
  <c r="EY25" i="1" s="1"/>
  <c r="EV25" i="1"/>
  <c r="EV9" i="1"/>
  <c r="EW9" i="1"/>
  <c r="EX9" i="1" s="1"/>
  <c r="EY9" i="1" s="1"/>
  <c r="EW16" i="1"/>
  <c r="EX16" i="1" s="1"/>
  <c r="EY16" i="1" s="1"/>
  <c r="EV16" i="1"/>
  <c r="EV22" i="1"/>
  <c r="EW22" i="1"/>
  <c r="EX22" i="1" s="1"/>
  <c r="EY22" i="1" s="1"/>
  <c r="EW19" i="1"/>
  <c r="EX19" i="1" s="1"/>
  <c r="EY19" i="1" s="1"/>
  <c r="EV19" i="1"/>
  <c r="EW51" i="1"/>
  <c r="EX51" i="1" s="1"/>
  <c r="EY51" i="1" s="1"/>
  <c r="EV51" i="1"/>
  <c r="EV53" i="1"/>
  <c r="EW53" i="1"/>
  <c r="EX53" i="1" s="1"/>
  <c r="EY53" i="1" s="1"/>
  <c r="EW20" i="1"/>
  <c r="EX20" i="1" s="1"/>
  <c r="EY20" i="1" s="1"/>
  <c r="EV20" i="1"/>
  <c r="EV46" i="1"/>
  <c r="EW46" i="1"/>
  <c r="EX46" i="1" s="1"/>
  <c r="EY46" i="1" s="1"/>
  <c r="EV21" i="1"/>
  <c r="EW21" i="1"/>
  <c r="EX21" i="1" s="1"/>
  <c r="EY21" i="1" s="1"/>
  <c r="EW24" i="1"/>
  <c r="EX24" i="1" s="1"/>
  <c r="EY24" i="1" s="1"/>
  <c r="EV24" i="1"/>
  <c r="EE33" i="1"/>
  <c r="EF33" i="1"/>
  <c r="EE9" i="1"/>
  <c r="EF9" i="1"/>
  <c r="EE48" i="1"/>
  <c r="EF48" i="1"/>
  <c r="EE8" i="1"/>
  <c r="EF8" i="1"/>
  <c r="EE39" i="1"/>
  <c r="EF39" i="1"/>
  <c r="EE15" i="1"/>
  <c r="EF15" i="1"/>
  <c r="EE51" i="1"/>
  <c r="EF51" i="1"/>
  <c r="EE43" i="1"/>
  <c r="EF43" i="1"/>
  <c r="EE35" i="1"/>
  <c r="EF35" i="1"/>
  <c r="EE27" i="1"/>
  <c r="EF27" i="1"/>
  <c r="EE19" i="1"/>
  <c r="EF19" i="1"/>
  <c r="EE11" i="1"/>
  <c r="EF11" i="1"/>
  <c r="EE50" i="1"/>
  <c r="EF50" i="1"/>
  <c r="EE42" i="1"/>
  <c r="EF42" i="1"/>
  <c r="EE34" i="1"/>
  <c r="EF34" i="1"/>
  <c r="EE26" i="1"/>
  <c r="EF26" i="1"/>
  <c r="EE18" i="1"/>
  <c r="EF18" i="1"/>
  <c r="EE10" i="1"/>
  <c r="EF10" i="1"/>
  <c r="EE49" i="1"/>
  <c r="EF49" i="1"/>
  <c r="EE25" i="1"/>
  <c r="EF25" i="1"/>
  <c r="EE32" i="1"/>
  <c r="EF32" i="1"/>
  <c r="EE24" i="1"/>
  <c r="EF24" i="1"/>
  <c r="EE23" i="1"/>
  <c r="EF23" i="1"/>
  <c r="EE46" i="1"/>
  <c r="EF46" i="1"/>
  <c r="EE6" i="1"/>
  <c r="EF6" i="1"/>
  <c r="EE5" i="1"/>
  <c r="EF5" i="1"/>
  <c r="EE45" i="1"/>
  <c r="EF45" i="1"/>
  <c r="ED53" i="1" s="1"/>
  <c r="EE37" i="1"/>
  <c r="EF37" i="1"/>
  <c r="EE29" i="1"/>
  <c r="EF29" i="1"/>
  <c r="EE21" i="1"/>
  <c r="EF21" i="1"/>
  <c r="EE13" i="1"/>
  <c r="EF13" i="1"/>
  <c r="EE41" i="1"/>
  <c r="EF41" i="1"/>
  <c r="EE17" i="1"/>
  <c r="EF17" i="1"/>
  <c r="EE40" i="1"/>
  <c r="EF40" i="1"/>
  <c r="EE16" i="1"/>
  <c r="EF16" i="1"/>
  <c r="EE47" i="1"/>
  <c r="EF47" i="1"/>
  <c r="EE31" i="1"/>
  <c r="EF31" i="1"/>
  <c r="EE7" i="1"/>
  <c r="EF7" i="1"/>
  <c r="EE38" i="1"/>
  <c r="EF38" i="1"/>
  <c r="EE30" i="1"/>
  <c r="EF30" i="1"/>
  <c r="EE22" i="1"/>
  <c r="EF22" i="1"/>
  <c r="EE14" i="1"/>
  <c r="EF14" i="1"/>
  <c r="EE52" i="1"/>
  <c r="EF52" i="1"/>
  <c r="EE44" i="1"/>
  <c r="EF44" i="1"/>
  <c r="EE36" i="1"/>
  <c r="EF36" i="1"/>
  <c r="EE28" i="1"/>
  <c r="EF28" i="1"/>
  <c r="EE20" i="1"/>
  <c r="EF20" i="1"/>
  <c r="EE12" i="1"/>
  <c r="EF12" i="1"/>
  <c r="EM48" i="3"/>
  <c r="DZ46" i="3"/>
  <c r="EY54" i="1" l="1"/>
  <c r="FG50" i="3"/>
  <c r="FH50" i="3" s="1"/>
  <c r="FG49" i="3"/>
  <c r="FH49" i="3" s="1"/>
  <c r="EP7" i="3"/>
  <c r="EQ7" i="3"/>
  <c r="ER7" i="3" s="1"/>
  <c r="ES7" i="3" s="1"/>
  <c r="ED14" i="3"/>
  <c r="EE14" i="3" s="1"/>
  <c r="EF14" i="3" s="1"/>
  <c r="EC14" i="3"/>
  <c r="ED20" i="3"/>
  <c r="EE20" i="3" s="1"/>
  <c r="EF20" i="3" s="1"/>
  <c r="EC20" i="3"/>
  <c r="ED6" i="3"/>
  <c r="EE6" i="3" s="1"/>
  <c r="EF6" i="3" s="1"/>
  <c r="EC6" i="3"/>
  <c r="ED45" i="3"/>
  <c r="EE45" i="3" s="1"/>
  <c r="EF45" i="3" s="1"/>
  <c r="EC45" i="3"/>
  <c r="EP29" i="3"/>
  <c r="EQ29" i="3"/>
  <c r="ER29" i="3" s="1"/>
  <c r="ES29" i="3" s="1"/>
  <c r="EP21" i="3"/>
  <c r="EQ21" i="3"/>
  <c r="ER21" i="3" s="1"/>
  <c r="ES21" i="3" s="1"/>
  <c r="EP15" i="3"/>
  <c r="EQ15" i="3"/>
  <c r="ER15" i="3" s="1"/>
  <c r="ES15" i="3" s="1"/>
  <c r="EP47" i="3"/>
  <c r="EQ47" i="3"/>
  <c r="ER47" i="3" s="1"/>
  <c r="ES47" i="3" s="1"/>
  <c r="ED35" i="3"/>
  <c r="EE35" i="3" s="1"/>
  <c r="EF35" i="3" s="1"/>
  <c r="EC35" i="3"/>
  <c r="EP8" i="3"/>
  <c r="EQ8" i="3"/>
  <c r="ER8" i="3" s="1"/>
  <c r="ES8" i="3" s="1"/>
  <c r="EP40" i="3"/>
  <c r="EQ40" i="3"/>
  <c r="ER40" i="3" s="1"/>
  <c r="ES40" i="3" s="1"/>
  <c r="ED28" i="3"/>
  <c r="EE28" i="3" s="1"/>
  <c r="EF28" i="3" s="1"/>
  <c r="EC28" i="3"/>
  <c r="ED30" i="3"/>
  <c r="EE30" i="3" s="1"/>
  <c r="EF30" i="3" s="1"/>
  <c r="EC30" i="3"/>
  <c r="EQ33" i="3"/>
  <c r="ER33" i="3" s="1"/>
  <c r="ES33" i="3" s="1"/>
  <c r="EP33" i="3"/>
  <c r="ED21" i="3"/>
  <c r="EE21" i="3" s="1"/>
  <c r="EF21" i="3" s="1"/>
  <c r="EC21" i="3"/>
  <c r="EQ42" i="3"/>
  <c r="ER42" i="3" s="1"/>
  <c r="ES42" i="3" s="1"/>
  <c r="EP42" i="3"/>
  <c r="EP46" i="3"/>
  <c r="EQ46" i="3"/>
  <c r="ER46" i="3" s="1"/>
  <c r="ES46" i="3" s="1"/>
  <c r="EQ27" i="3"/>
  <c r="ER27" i="3" s="1"/>
  <c r="ES27" i="3" s="1"/>
  <c r="EP27" i="3"/>
  <c r="ED15" i="3"/>
  <c r="EE15" i="3" s="1"/>
  <c r="EF15" i="3" s="1"/>
  <c r="EC15" i="3"/>
  <c r="EC24" i="3"/>
  <c r="ED24" i="3"/>
  <c r="EE24" i="3" s="1"/>
  <c r="EF24" i="3" s="1"/>
  <c r="EQ20" i="3"/>
  <c r="ER20" i="3" s="1"/>
  <c r="ES20" i="3" s="1"/>
  <c r="EP20" i="3"/>
  <c r="EC8" i="3"/>
  <c r="ED8" i="3"/>
  <c r="EE8" i="3" s="1"/>
  <c r="EF8" i="3" s="1"/>
  <c r="EP45" i="3"/>
  <c r="EQ45" i="3"/>
  <c r="ER45" i="3" s="1"/>
  <c r="ES45" i="3" s="1"/>
  <c r="EC33" i="3"/>
  <c r="EF4" i="3" s="1"/>
  <c r="ED33" i="3"/>
  <c r="EE33" i="3" s="1"/>
  <c r="EF33" i="3" s="1"/>
  <c r="ED42" i="3"/>
  <c r="EE42" i="3" s="1"/>
  <c r="EF42" i="3" s="1"/>
  <c r="EC42" i="3"/>
  <c r="EP14" i="3"/>
  <c r="EQ14" i="3"/>
  <c r="ER14" i="3" s="1"/>
  <c r="ES14" i="3" s="1"/>
  <c r="ED4" i="3"/>
  <c r="EE4" i="3" s="1"/>
  <c r="EC4" i="3"/>
  <c r="ED18" i="3"/>
  <c r="EE18" i="3" s="1"/>
  <c r="EF18" i="3" s="1"/>
  <c r="EC18" i="3"/>
  <c r="EP37" i="3"/>
  <c r="EQ37" i="3"/>
  <c r="ER37" i="3" s="1"/>
  <c r="ES37" i="3" s="1"/>
  <c r="EP39" i="3"/>
  <c r="EQ39" i="3"/>
  <c r="ER39" i="3" s="1"/>
  <c r="ES39" i="3" s="1"/>
  <c r="EQ25" i="3"/>
  <c r="ER25" i="3" s="1"/>
  <c r="ES25" i="3" s="1"/>
  <c r="EP25" i="3"/>
  <c r="EQ18" i="3"/>
  <c r="ER18" i="3" s="1"/>
  <c r="ES18" i="3" s="1"/>
  <c r="EP18" i="3"/>
  <c r="ED39" i="3"/>
  <c r="EE39" i="3" s="1"/>
  <c r="EF39" i="3" s="1"/>
  <c r="EC39" i="3"/>
  <c r="EQ12" i="3"/>
  <c r="ER12" i="3" s="1"/>
  <c r="ES12" i="3" s="1"/>
  <c r="EP12" i="3"/>
  <c r="EP23" i="3"/>
  <c r="EQ23" i="3"/>
  <c r="ER23" i="3" s="1"/>
  <c r="ES23" i="3" s="1"/>
  <c r="EP4" i="3"/>
  <c r="EQ4" i="3"/>
  <c r="ER4" i="3" s="1"/>
  <c r="ES4" i="3" s="1"/>
  <c r="EC41" i="3"/>
  <c r="ED41" i="3"/>
  <c r="EE41" i="3" s="1"/>
  <c r="EF41" i="3" s="1"/>
  <c r="EQ9" i="3"/>
  <c r="ER9" i="3" s="1"/>
  <c r="ES9" i="3" s="1"/>
  <c r="EP9" i="3"/>
  <c r="ED22" i="3"/>
  <c r="EE22" i="3" s="1"/>
  <c r="EF22" i="3" s="1"/>
  <c r="EC22" i="3"/>
  <c r="EC40" i="3"/>
  <c r="ED40" i="3"/>
  <c r="EE40" i="3" s="1"/>
  <c r="EF40" i="3" s="1"/>
  <c r="EP30" i="3"/>
  <c r="EQ30" i="3"/>
  <c r="ER30" i="3" s="1"/>
  <c r="ES30" i="3" s="1"/>
  <c r="EQ28" i="3"/>
  <c r="ER28" i="3" s="1"/>
  <c r="ES28" i="3" s="1"/>
  <c r="EP28" i="3"/>
  <c r="EC17" i="3"/>
  <c r="ED17" i="3"/>
  <c r="EE17" i="3" s="1"/>
  <c r="EF17" i="3" s="1"/>
  <c r="EC9" i="3"/>
  <c r="ED9" i="3"/>
  <c r="EE9" i="3" s="1"/>
  <c r="EF9" i="3" s="1"/>
  <c r="ED27" i="3"/>
  <c r="EE27" i="3" s="1"/>
  <c r="EF27" i="3" s="1"/>
  <c r="EC27" i="3"/>
  <c r="EP32" i="3"/>
  <c r="EQ32" i="3"/>
  <c r="ER32" i="3" s="1"/>
  <c r="ES32" i="3" s="1"/>
  <c r="ED13" i="3"/>
  <c r="EE13" i="3" s="1"/>
  <c r="EF13" i="3" s="1"/>
  <c r="EC13" i="3"/>
  <c r="EQ19" i="3"/>
  <c r="ER19" i="3" s="1"/>
  <c r="ES19" i="3" s="1"/>
  <c r="EP19" i="3"/>
  <c r="ED10" i="3"/>
  <c r="EE10" i="3" s="1"/>
  <c r="EF10" i="3" s="1"/>
  <c r="EC10" i="3"/>
  <c r="ED11" i="3"/>
  <c r="EE11" i="3" s="1"/>
  <c r="EF11" i="3" s="1"/>
  <c r="EC11" i="3"/>
  <c r="EP16" i="3"/>
  <c r="EQ16" i="3"/>
  <c r="ER16" i="3" s="1"/>
  <c r="ES16" i="3" s="1"/>
  <c r="EQ10" i="3"/>
  <c r="ER10" i="3" s="1"/>
  <c r="ES10" i="3" s="1"/>
  <c r="EP10" i="3"/>
  <c r="ED29" i="3"/>
  <c r="EE29" i="3" s="1"/>
  <c r="EF29" i="3" s="1"/>
  <c r="EC29" i="3"/>
  <c r="EQ35" i="3"/>
  <c r="ER35" i="3" s="1"/>
  <c r="ES35" i="3" s="1"/>
  <c r="EP35" i="3"/>
  <c r="EP31" i="3"/>
  <c r="EQ31" i="3"/>
  <c r="ER31" i="3" s="1"/>
  <c r="ES31" i="3" s="1"/>
  <c r="ED19" i="3"/>
  <c r="EE19" i="3" s="1"/>
  <c r="EF19" i="3" s="1"/>
  <c r="EC19" i="3"/>
  <c r="ED44" i="3"/>
  <c r="EE44" i="3" s="1"/>
  <c r="EF44" i="3" s="1"/>
  <c r="EC44" i="3"/>
  <c r="EQ26" i="3"/>
  <c r="ER26" i="3" s="1"/>
  <c r="ES26" i="3" s="1"/>
  <c r="EP26" i="3"/>
  <c r="EP24" i="3"/>
  <c r="EQ24" i="3"/>
  <c r="ER24" i="3" s="1"/>
  <c r="ES24" i="3" s="1"/>
  <c r="ED12" i="3"/>
  <c r="EE12" i="3" s="1"/>
  <c r="EF12" i="3" s="1"/>
  <c r="EC12" i="3"/>
  <c r="EQ34" i="3"/>
  <c r="ER34" i="3" s="1"/>
  <c r="ES34" i="3" s="1"/>
  <c r="EP34" i="3"/>
  <c r="EQ17" i="3"/>
  <c r="ER17" i="3" s="1"/>
  <c r="ES17" i="3" s="1"/>
  <c r="EP17" i="3"/>
  <c r="ED5" i="3"/>
  <c r="EE5" i="3" s="1"/>
  <c r="EF5" i="3" s="1"/>
  <c r="EC5" i="3"/>
  <c r="ED37" i="3"/>
  <c r="EE37" i="3" s="1"/>
  <c r="EF37" i="3" s="1"/>
  <c r="EC37" i="3"/>
  <c r="ED38" i="3"/>
  <c r="EE38" i="3" s="1"/>
  <c r="EF38" i="3" s="1"/>
  <c r="EC38" i="3"/>
  <c r="EQ11" i="3"/>
  <c r="ER11" i="3" s="1"/>
  <c r="ES11" i="3" s="1"/>
  <c r="EP11" i="3"/>
  <c r="EQ43" i="3"/>
  <c r="ER43" i="3" s="1"/>
  <c r="ES43" i="3" s="1"/>
  <c r="EP43" i="3"/>
  <c r="ED31" i="3"/>
  <c r="EE31" i="3" s="1"/>
  <c r="EF31" i="3" s="1"/>
  <c r="EC31" i="3"/>
  <c r="ED26" i="3"/>
  <c r="EE26" i="3" s="1"/>
  <c r="EF26" i="3" s="1"/>
  <c r="EC26" i="3"/>
  <c r="EQ36" i="3"/>
  <c r="ER36" i="3" s="1"/>
  <c r="ES36" i="3" s="1"/>
  <c r="EP36" i="3"/>
  <c r="EC32" i="3"/>
  <c r="ED32" i="3"/>
  <c r="EE32" i="3" s="1"/>
  <c r="EF32" i="3" s="1"/>
  <c r="EP13" i="3"/>
  <c r="EQ13" i="3"/>
  <c r="ER13" i="3" s="1"/>
  <c r="ES13" i="3" s="1"/>
  <c r="EP6" i="3"/>
  <c r="EQ6" i="3"/>
  <c r="ER6" i="3" s="1"/>
  <c r="ES6" i="3" s="1"/>
  <c r="EP22" i="3"/>
  <c r="EQ22" i="3"/>
  <c r="ER22" i="3" s="1"/>
  <c r="ES22" i="3" s="1"/>
  <c r="ED7" i="3"/>
  <c r="EE7" i="3" s="1"/>
  <c r="EF7" i="3" s="1"/>
  <c r="EC7" i="3"/>
  <c r="EQ44" i="3"/>
  <c r="ER44" i="3" s="1"/>
  <c r="ES44" i="3" s="1"/>
  <c r="EP44" i="3"/>
  <c r="ED43" i="3"/>
  <c r="EE43" i="3" s="1"/>
  <c r="EF43" i="3" s="1"/>
  <c r="EC43" i="3"/>
  <c r="ED36" i="3"/>
  <c r="EE36" i="3" s="1"/>
  <c r="EF36" i="3" s="1"/>
  <c r="EC36" i="3"/>
  <c r="EQ41" i="3"/>
  <c r="ER41" i="3" s="1"/>
  <c r="ES41" i="3" s="1"/>
  <c r="EP41" i="3"/>
  <c r="ED34" i="3"/>
  <c r="EE34" i="3" s="1"/>
  <c r="EF34" i="3" s="1"/>
  <c r="EC34" i="3"/>
  <c r="ED23" i="3"/>
  <c r="EE23" i="3" s="1"/>
  <c r="EF23" i="3" s="1"/>
  <c r="EC23" i="3"/>
  <c r="EC16" i="3"/>
  <c r="ED16" i="3"/>
  <c r="EE16" i="3" s="1"/>
  <c r="EF16" i="3" s="1"/>
  <c r="EP38" i="3"/>
  <c r="EQ38" i="3"/>
  <c r="ER38" i="3" s="1"/>
  <c r="ES38" i="3" s="1"/>
  <c r="EP5" i="3"/>
  <c r="EQ5" i="3"/>
  <c r="ER5" i="3" s="1"/>
  <c r="ES5" i="3" s="1"/>
  <c r="EC25" i="3"/>
  <c r="ED25" i="3"/>
  <c r="EE25" i="3" s="1"/>
  <c r="EF25" i="3" s="1"/>
  <c r="EX55" i="1"/>
  <c r="EY55" i="1" s="1"/>
  <c r="EX54" i="1"/>
  <c r="EH44" i="1"/>
  <c r="EI44" i="1" s="1"/>
  <c r="EJ44" i="1" s="1"/>
  <c r="EG44" i="1"/>
  <c r="EH47" i="1"/>
  <c r="EI47" i="1" s="1"/>
  <c r="EJ47" i="1" s="1"/>
  <c r="EG47" i="1"/>
  <c r="EH46" i="1"/>
  <c r="EI46" i="1" s="1"/>
  <c r="EJ46" i="1" s="1"/>
  <c r="EG46" i="1"/>
  <c r="EG26" i="1"/>
  <c r="EH26" i="1"/>
  <c r="EI26" i="1" s="1"/>
  <c r="EJ26" i="1" s="1"/>
  <c r="EG8" i="1"/>
  <c r="EH8" i="1"/>
  <c r="EI8" i="1" s="1"/>
  <c r="EJ8" i="1" s="1"/>
  <c r="EH12" i="1"/>
  <c r="EI12" i="1" s="1"/>
  <c r="EJ12" i="1" s="1"/>
  <c r="EG12" i="1"/>
  <c r="EH30" i="1"/>
  <c r="EI30" i="1" s="1"/>
  <c r="EJ30" i="1" s="1"/>
  <c r="EG30" i="1"/>
  <c r="EH41" i="1"/>
  <c r="EI41" i="1" s="1"/>
  <c r="EJ41" i="1" s="1"/>
  <c r="EG41" i="1"/>
  <c r="EH37" i="1"/>
  <c r="EI37" i="1" s="1"/>
  <c r="EJ37" i="1" s="1"/>
  <c r="EG37" i="1"/>
  <c r="EH25" i="1"/>
  <c r="EI25" i="1" s="1"/>
  <c r="EJ25" i="1" s="1"/>
  <c r="EG25" i="1"/>
  <c r="EG11" i="1"/>
  <c r="EH11" i="1"/>
  <c r="EI11" i="1" s="1"/>
  <c r="EJ11" i="1" s="1"/>
  <c r="EG43" i="1"/>
  <c r="EH43" i="1"/>
  <c r="EI43" i="1" s="1"/>
  <c r="EJ43" i="1" s="1"/>
  <c r="EG20" i="1"/>
  <c r="EH20" i="1"/>
  <c r="EI20" i="1" s="1"/>
  <c r="EJ20" i="1" s="1"/>
  <c r="EH52" i="1"/>
  <c r="EI52" i="1" s="1"/>
  <c r="EJ52" i="1" s="1"/>
  <c r="EG52" i="1"/>
  <c r="EH38" i="1"/>
  <c r="EI38" i="1" s="1"/>
  <c r="EJ38" i="1" s="1"/>
  <c r="EG38" i="1"/>
  <c r="EH16" i="1"/>
  <c r="EI16" i="1" s="1"/>
  <c r="EJ16" i="1" s="1"/>
  <c r="EG16" i="1"/>
  <c r="EG13" i="1"/>
  <c r="EH13" i="1"/>
  <c r="EI13" i="1" s="1"/>
  <c r="EJ13" i="1" s="1"/>
  <c r="EG45" i="1"/>
  <c r="EH45" i="1"/>
  <c r="EI45" i="1" s="1"/>
  <c r="EJ45" i="1" s="1"/>
  <c r="EH23" i="1"/>
  <c r="EI23" i="1" s="1"/>
  <c r="EJ23" i="1" s="1"/>
  <c r="EG23" i="1"/>
  <c r="EG49" i="1"/>
  <c r="EH49" i="1"/>
  <c r="EI49" i="1" s="1"/>
  <c r="EJ49" i="1" s="1"/>
  <c r="EG34" i="1"/>
  <c r="EH34" i="1"/>
  <c r="EI34" i="1" s="1"/>
  <c r="EJ34" i="1" s="1"/>
  <c r="EG19" i="1"/>
  <c r="EH19" i="1"/>
  <c r="EI19" i="1" s="1"/>
  <c r="EJ19" i="1" s="1"/>
  <c r="EG51" i="1"/>
  <c r="EH51" i="1"/>
  <c r="EI51" i="1" s="1"/>
  <c r="EJ51" i="1" s="1"/>
  <c r="EG48" i="1"/>
  <c r="EH48" i="1"/>
  <c r="EI48" i="1" s="1"/>
  <c r="EJ48" i="1" s="1"/>
  <c r="EH36" i="1"/>
  <c r="EI36" i="1" s="1"/>
  <c r="EJ36" i="1" s="1"/>
  <c r="EG36" i="1"/>
  <c r="EH28" i="1"/>
  <c r="EI28" i="1" s="1"/>
  <c r="EJ28" i="1" s="1"/>
  <c r="EG28" i="1"/>
  <c r="EH14" i="1"/>
  <c r="EI14" i="1" s="1"/>
  <c r="EJ14" i="1" s="1"/>
  <c r="EG14" i="1"/>
  <c r="EH7" i="1"/>
  <c r="EI7" i="1" s="1"/>
  <c r="EJ7" i="1" s="1"/>
  <c r="EG7" i="1"/>
  <c r="EG40" i="1"/>
  <c r="EH40" i="1"/>
  <c r="EI40" i="1" s="1"/>
  <c r="EJ40" i="1" s="1"/>
  <c r="EH21" i="1"/>
  <c r="EI21" i="1" s="1"/>
  <c r="EJ21" i="1" s="1"/>
  <c r="EG21" i="1"/>
  <c r="EG5" i="1"/>
  <c r="EH5" i="1"/>
  <c r="EI5" i="1" s="1"/>
  <c r="EJ5" i="1" s="1"/>
  <c r="EG24" i="1"/>
  <c r="EH24" i="1"/>
  <c r="EI24" i="1" s="1"/>
  <c r="EJ24" i="1" s="1"/>
  <c r="EG10" i="1"/>
  <c r="EH10" i="1"/>
  <c r="EI10" i="1" s="1"/>
  <c r="EJ10" i="1" s="1"/>
  <c r="EG42" i="1"/>
  <c r="EH42" i="1"/>
  <c r="EI42" i="1" s="1"/>
  <c r="EJ42" i="1" s="1"/>
  <c r="EG27" i="1"/>
  <c r="EH27" i="1"/>
  <c r="EI27" i="1" s="1"/>
  <c r="EJ27" i="1" s="1"/>
  <c r="EH15" i="1"/>
  <c r="EI15" i="1" s="1"/>
  <c r="EJ15" i="1" s="1"/>
  <c r="EG15" i="1"/>
  <c r="EG9" i="1"/>
  <c r="EH9" i="1"/>
  <c r="EI9" i="1" s="1"/>
  <c r="EJ9" i="1" s="1"/>
  <c r="EH22" i="1"/>
  <c r="EI22" i="1" s="1"/>
  <c r="EJ22" i="1" s="1"/>
  <c r="EG22" i="1"/>
  <c r="EH31" i="1"/>
  <c r="EI31" i="1" s="1"/>
  <c r="EJ31" i="1" s="1"/>
  <c r="EG31" i="1"/>
  <c r="EH17" i="1"/>
  <c r="EI17" i="1" s="1"/>
  <c r="EJ17" i="1" s="1"/>
  <c r="EG17" i="1"/>
  <c r="EG29" i="1"/>
  <c r="EH29" i="1"/>
  <c r="EI29" i="1" s="1"/>
  <c r="EJ29" i="1" s="1"/>
  <c r="EH6" i="1"/>
  <c r="EI6" i="1" s="1"/>
  <c r="EJ6" i="1" s="1"/>
  <c r="EG6" i="1"/>
  <c r="EH32" i="1"/>
  <c r="EI32" i="1" s="1"/>
  <c r="EJ32" i="1" s="1"/>
  <c r="EG32" i="1"/>
  <c r="EG18" i="1"/>
  <c r="EH18" i="1"/>
  <c r="EI18" i="1" s="1"/>
  <c r="EJ18" i="1" s="1"/>
  <c r="EG50" i="1"/>
  <c r="EH50" i="1"/>
  <c r="EI50" i="1" s="1"/>
  <c r="EJ50" i="1" s="1"/>
  <c r="EG35" i="1"/>
  <c r="EH35" i="1"/>
  <c r="EI35" i="1" s="1"/>
  <c r="EJ35" i="1" s="1"/>
  <c r="EH39" i="1"/>
  <c r="EI39" i="1" s="1"/>
  <c r="EJ39" i="1" s="1"/>
  <c r="EG39" i="1"/>
  <c r="EG33" i="1"/>
  <c r="EH33" i="1"/>
  <c r="EI33" i="1" s="1"/>
  <c r="EJ33" i="1" s="1"/>
  <c r="ES49" i="3" l="1"/>
  <c r="EF47" i="3"/>
  <c r="ER49" i="3"/>
  <c r="ER48" i="3"/>
  <c r="ES48" i="3" s="1"/>
  <c r="EE47" i="3"/>
  <c r="EE46" i="3"/>
  <c r="EI54" i="1"/>
  <c r="EJ54" i="1" s="1"/>
  <c r="EI53" i="1"/>
  <c r="EJ53" i="1" s="1"/>
  <c r="E6" i="1"/>
  <c r="E7" i="1"/>
  <c r="E8" i="1"/>
  <c r="G8" i="1" s="1"/>
  <c r="E9" i="1"/>
  <c r="G9" i="1" s="1"/>
  <c r="E10" i="1"/>
  <c r="F10" i="1" s="1"/>
  <c r="E11" i="1"/>
  <c r="F11" i="1" s="1"/>
  <c r="E12" i="1"/>
  <c r="F12" i="1" s="1"/>
  <c r="E13" i="1"/>
  <c r="E14" i="1"/>
  <c r="E15" i="1"/>
  <c r="G15" i="1" s="1"/>
  <c r="E16" i="1"/>
  <c r="G16" i="1" s="1"/>
  <c r="E17" i="1"/>
  <c r="G17" i="1" s="1"/>
  <c r="E18" i="1"/>
  <c r="F18" i="1" s="1"/>
  <c r="E19" i="1"/>
  <c r="F19" i="1" s="1"/>
  <c r="E20" i="1"/>
  <c r="F20" i="1" s="1"/>
  <c r="E21" i="1"/>
  <c r="E22" i="1"/>
  <c r="E23" i="1"/>
  <c r="G23" i="1" s="1"/>
  <c r="E24" i="1"/>
  <c r="E25" i="1"/>
  <c r="G25" i="1" s="1"/>
  <c r="E26" i="1"/>
  <c r="F26" i="1" s="1"/>
  <c r="E27" i="1"/>
  <c r="F27" i="1" s="1"/>
  <c r="E28" i="1"/>
  <c r="F28" i="1" s="1"/>
  <c r="E29" i="1"/>
  <c r="E30" i="1"/>
  <c r="G30" i="1" s="1"/>
  <c r="E31" i="1"/>
  <c r="E5" i="1"/>
  <c r="F5" i="1" s="1"/>
  <c r="P6" i="1"/>
  <c r="R6" i="1" s="1"/>
  <c r="P7" i="1"/>
  <c r="R7" i="1" s="1"/>
  <c r="S7" i="1" s="1"/>
  <c r="T7" i="1" s="1"/>
  <c r="P8" i="1"/>
  <c r="Q8" i="1" s="1"/>
  <c r="P9" i="1"/>
  <c r="P10" i="1"/>
  <c r="P11" i="1"/>
  <c r="P12" i="1"/>
  <c r="P13" i="1"/>
  <c r="R13" i="1" s="1"/>
  <c r="P14" i="1"/>
  <c r="R14" i="1" s="1"/>
  <c r="P15" i="1"/>
  <c r="R15" i="1" s="1"/>
  <c r="S15" i="1" s="1"/>
  <c r="T15" i="1" s="1"/>
  <c r="P16" i="1"/>
  <c r="Q16" i="1" s="1"/>
  <c r="P17" i="1"/>
  <c r="P18" i="1"/>
  <c r="P19" i="1"/>
  <c r="P20" i="1"/>
  <c r="P21" i="1"/>
  <c r="Q21" i="1" s="1"/>
  <c r="P22" i="1"/>
  <c r="R22" i="1" s="1"/>
  <c r="P23" i="1"/>
  <c r="R23" i="1" s="1"/>
  <c r="S23" i="1" s="1"/>
  <c r="T23" i="1" s="1"/>
  <c r="P24" i="1"/>
  <c r="Q24" i="1" s="1"/>
  <c r="P25" i="1"/>
  <c r="P26" i="1"/>
  <c r="P27" i="1"/>
  <c r="P28" i="1"/>
  <c r="P29" i="1"/>
  <c r="P30" i="1"/>
  <c r="R30" i="1" s="1"/>
  <c r="P31" i="1"/>
  <c r="R31" i="1" s="1"/>
  <c r="S31" i="1" s="1"/>
  <c r="T31" i="1" s="1"/>
  <c r="P32" i="1"/>
  <c r="Q32" i="1" s="1"/>
  <c r="P33" i="1"/>
  <c r="P34" i="1"/>
  <c r="P35" i="1"/>
  <c r="P36" i="1"/>
  <c r="P37" i="1"/>
  <c r="P38" i="1"/>
  <c r="R38" i="1" s="1"/>
  <c r="P39" i="1"/>
  <c r="R39" i="1" s="1"/>
  <c r="S39" i="1" s="1"/>
  <c r="T39" i="1" s="1"/>
  <c r="P40" i="1"/>
  <c r="Q40" i="1" s="1"/>
  <c r="P41" i="1"/>
  <c r="P42" i="1"/>
  <c r="P43" i="1"/>
  <c r="P44" i="1"/>
  <c r="P45" i="1"/>
  <c r="P5" i="1"/>
  <c r="Q5" i="1" s="1"/>
  <c r="AE51" i="1"/>
  <c r="AF51" i="1" s="1"/>
  <c r="AE52" i="1"/>
  <c r="AF52" i="1" s="1"/>
  <c r="AW63" i="1"/>
  <c r="AX63" i="1" s="1"/>
  <c r="AW64" i="1"/>
  <c r="AX64" i="1" s="1"/>
  <c r="AW6" i="1"/>
  <c r="AY6" i="1" s="1"/>
  <c r="AZ6" i="1" s="1"/>
  <c r="BA6" i="1" s="1"/>
  <c r="AW7" i="1"/>
  <c r="AX7" i="1" s="1"/>
  <c r="AW8" i="1"/>
  <c r="AX8" i="1" s="1"/>
  <c r="AW9" i="1"/>
  <c r="AX9" i="1" s="1"/>
  <c r="AW10" i="1"/>
  <c r="AY10" i="1" s="1"/>
  <c r="AW11" i="1"/>
  <c r="AY11" i="1" s="1"/>
  <c r="AZ11" i="1" s="1"/>
  <c r="BA11" i="1" s="1"/>
  <c r="AW12" i="1"/>
  <c r="AY12" i="1" s="1"/>
  <c r="AZ12" i="1" s="1"/>
  <c r="BA12" i="1" s="1"/>
  <c r="AW13" i="1"/>
  <c r="AX13" i="1" s="1"/>
  <c r="AW14" i="1"/>
  <c r="AY14" i="1" s="1"/>
  <c r="AZ14" i="1" s="1"/>
  <c r="BA14" i="1" s="1"/>
  <c r="AW15" i="1"/>
  <c r="AX15" i="1" s="1"/>
  <c r="AW16" i="1"/>
  <c r="AX16" i="1" s="1"/>
  <c r="AW17" i="1"/>
  <c r="AX17" i="1" s="1"/>
  <c r="AW18" i="1"/>
  <c r="AY18" i="1" s="1"/>
  <c r="AW19" i="1"/>
  <c r="AY19" i="1" s="1"/>
  <c r="AZ19" i="1" s="1"/>
  <c r="BA19" i="1" s="1"/>
  <c r="AW20" i="1"/>
  <c r="AY20" i="1" s="1"/>
  <c r="AZ20" i="1" s="1"/>
  <c r="BA20" i="1" s="1"/>
  <c r="AW21" i="1"/>
  <c r="AX21" i="1" s="1"/>
  <c r="AW22" i="1"/>
  <c r="AY22" i="1" s="1"/>
  <c r="AZ22" i="1" s="1"/>
  <c r="BA22" i="1" s="1"/>
  <c r="AW23" i="1"/>
  <c r="AX23" i="1" s="1"/>
  <c r="AW24" i="1"/>
  <c r="AX24" i="1" s="1"/>
  <c r="AW25" i="1"/>
  <c r="AY25" i="1" s="1"/>
  <c r="AW26" i="1"/>
  <c r="AY26" i="1" s="1"/>
  <c r="AW27" i="1"/>
  <c r="AY27" i="1" s="1"/>
  <c r="AZ27" i="1" s="1"/>
  <c r="BA27" i="1" s="1"/>
  <c r="AW28" i="1"/>
  <c r="AX28" i="1" s="1"/>
  <c r="AW29" i="1"/>
  <c r="AY29" i="1" s="1"/>
  <c r="AZ29" i="1" s="1"/>
  <c r="BA29" i="1" s="1"/>
  <c r="AW30" i="1"/>
  <c r="AX30" i="1" s="1"/>
  <c r="AW31" i="1"/>
  <c r="AX31" i="1" s="1"/>
  <c r="AW32" i="1"/>
  <c r="AX32" i="1" s="1"/>
  <c r="AW33" i="1"/>
  <c r="AY33" i="1" s="1"/>
  <c r="AW34" i="1"/>
  <c r="AY34" i="1" s="1"/>
  <c r="AW35" i="1"/>
  <c r="AY35" i="1" s="1"/>
  <c r="AZ35" i="1" s="1"/>
  <c r="BA35" i="1" s="1"/>
  <c r="AW36" i="1"/>
  <c r="AX36" i="1" s="1"/>
  <c r="AW37" i="1"/>
  <c r="AY37" i="1" s="1"/>
  <c r="AZ37" i="1" s="1"/>
  <c r="BA37" i="1" s="1"/>
  <c r="AW38" i="1"/>
  <c r="AX38" i="1" s="1"/>
  <c r="AW39" i="1"/>
  <c r="AX39" i="1" s="1"/>
  <c r="AW40" i="1"/>
  <c r="AY40" i="1" s="1"/>
  <c r="AW41" i="1"/>
  <c r="AY41" i="1" s="1"/>
  <c r="AW42" i="1"/>
  <c r="AY42" i="1" s="1"/>
  <c r="AZ42" i="1" s="1"/>
  <c r="BA42" i="1" s="1"/>
  <c r="AW43" i="1"/>
  <c r="AX43" i="1" s="1"/>
  <c r="AW44" i="1"/>
  <c r="AY44" i="1" s="1"/>
  <c r="AZ44" i="1" s="1"/>
  <c r="BA44" i="1" s="1"/>
  <c r="AW45" i="1"/>
  <c r="AX45" i="1" s="1"/>
  <c r="AW46" i="1"/>
  <c r="AX46" i="1" s="1"/>
  <c r="AW47" i="1"/>
  <c r="AY47" i="1" s="1"/>
  <c r="AW48" i="1"/>
  <c r="AY48" i="1" s="1"/>
  <c r="AW49" i="1"/>
  <c r="AX49" i="1" s="1"/>
  <c r="AW50" i="1"/>
  <c r="AY50" i="1" s="1"/>
  <c r="AZ50" i="1" s="1"/>
  <c r="BA50" i="1" s="1"/>
  <c r="AW51" i="1"/>
  <c r="AX51" i="1" s="1"/>
  <c r="AW52" i="1"/>
  <c r="AX52" i="1" s="1"/>
  <c r="AW53" i="1"/>
  <c r="AX53" i="1" s="1"/>
  <c r="AW54" i="1"/>
  <c r="AY54" i="1" s="1"/>
  <c r="AW55" i="1"/>
  <c r="AY55" i="1" s="1"/>
  <c r="AW56" i="1"/>
  <c r="AX56" i="1" s="1"/>
  <c r="AW57" i="1"/>
  <c r="AX57" i="1" s="1"/>
  <c r="AW58" i="1"/>
  <c r="AX58" i="1" s="1"/>
  <c r="AW59" i="1"/>
  <c r="AX59" i="1" s="1"/>
  <c r="AW60" i="1"/>
  <c r="AY60" i="1" s="1"/>
  <c r="AW61" i="1"/>
  <c r="AY61" i="1" s="1"/>
  <c r="AZ61" i="1" s="1"/>
  <c r="BA61" i="1" s="1"/>
  <c r="AW62" i="1"/>
  <c r="AX62" i="1" s="1"/>
  <c r="AW5" i="1"/>
  <c r="AP65" i="1"/>
  <c r="AO65" i="1" s="1"/>
  <c r="BN6" i="1"/>
  <c r="BN7" i="1"/>
  <c r="BN8" i="1"/>
  <c r="BO8" i="1" s="1"/>
  <c r="BN9" i="1"/>
  <c r="BO9" i="1" s="1"/>
  <c r="BN10" i="1"/>
  <c r="BP10" i="1" s="1"/>
  <c r="BN11" i="1"/>
  <c r="BP11" i="1" s="1"/>
  <c r="BQ11" i="1" s="1"/>
  <c r="BR11" i="1" s="1"/>
  <c r="BN12" i="1"/>
  <c r="BP12" i="1" s="1"/>
  <c r="BN13" i="1"/>
  <c r="BN14" i="1"/>
  <c r="BN15" i="1"/>
  <c r="BP15" i="1" s="1"/>
  <c r="BN16" i="1"/>
  <c r="BO16" i="1" s="1"/>
  <c r="BN17" i="1"/>
  <c r="BO17" i="1" s="1"/>
  <c r="BN18" i="1"/>
  <c r="BN19" i="1"/>
  <c r="BP19" i="1" s="1"/>
  <c r="BQ19" i="1" s="1"/>
  <c r="BR19" i="1" s="1"/>
  <c r="BN20" i="1"/>
  <c r="BP20" i="1" s="1"/>
  <c r="BN21" i="1"/>
  <c r="BN22" i="1"/>
  <c r="BN23" i="1"/>
  <c r="BO23" i="1" s="1"/>
  <c r="BN24" i="1"/>
  <c r="BP24" i="1" s="1"/>
  <c r="BQ24" i="1" s="1"/>
  <c r="BR24" i="1" s="1"/>
  <c r="BN25" i="1"/>
  <c r="BP25" i="1" s="1"/>
  <c r="BN26" i="1"/>
  <c r="BP26" i="1" s="1"/>
  <c r="BQ26" i="1" s="1"/>
  <c r="BR26" i="1" s="1"/>
  <c r="BN27" i="1"/>
  <c r="BO27" i="1" s="1"/>
  <c r="BN28" i="1"/>
  <c r="BN29" i="1"/>
  <c r="BN30" i="1"/>
  <c r="BO30" i="1" s="1"/>
  <c r="BN31" i="1"/>
  <c r="BO31" i="1" s="1"/>
  <c r="BN32" i="1"/>
  <c r="BO32" i="1" s="1"/>
  <c r="BN33" i="1"/>
  <c r="BN34" i="1"/>
  <c r="BP34" i="1" s="1"/>
  <c r="BQ34" i="1" s="1"/>
  <c r="BR34" i="1" s="1"/>
  <c r="BN35" i="1"/>
  <c r="BP35" i="1" s="1"/>
  <c r="BQ35" i="1" s="1"/>
  <c r="BR35" i="1" s="1"/>
  <c r="BN36" i="1"/>
  <c r="BN37" i="1"/>
  <c r="BN38" i="1"/>
  <c r="BO38" i="1" s="1"/>
  <c r="BN39" i="1"/>
  <c r="BO39" i="1" s="1"/>
  <c r="BN40" i="1"/>
  <c r="BO40" i="1" s="1"/>
  <c r="BN41" i="1"/>
  <c r="BO41" i="1" s="1"/>
  <c r="BN42" i="1"/>
  <c r="BP42" i="1" s="1"/>
  <c r="BN43" i="1"/>
  <c r="BN44" i="1"/>
  <c r="BN45" i="1"/>
  <c r="BO45" i="1" s="1"/>
  <c r="BN46" i="1"/>
  <c r="BO46" i="1" s="1"/>
  <c r="BN47" i="1"/>
  <c r="BO47" i="1" s="1"/>
  <c r="BN48" i="1"/>
  <c r="BP48" i="1" s="1"/>
  <c r="BQ48" i="1" s="1"/>
  <c r="BR48" i="1" s="1"/>
  <c r="BN49" i="1"/>
  <c r="BP49" i="1" s="1"/>
  <c r="BQ49" i="1" s="1"/>
  <c r="BR49" i="1" s="1"/>
  <c r="BN50" i="1"/>
  <c r="BN51" i="1"/>
  <c r="BO51" i="1" s="1"/>
  <c r="BN52" i="1"/>
  <c r="BP52" i="1" s="1"/>
  <c r="BQ52" i="1" s="1"/>
  <c r="BR52" i="1" s="1"/>
  <c r="BN53" i="1"/>
  <c r="BP53" i="1" s="1"/>
  <c r="BN54" i="1"/>
  <c r="BP54" i="1" s="1"/>
  <c r="BQ54" i="1" s="1"/>
  <c r="BR54" i="1" s="1"/>
  <c r="BN55" i="1"/>
  <c r="BN56" i="1"/>
  <c r="BN57" i="1"/>
  <c r="BN58" i="1"/>
  <c r="BO58" i="1" s="1"/>
  <c r="BN59" i="1"/>
  <c r="BO59" i="1" s="1"/>
  <c r="BN60" i="1"/>
  <c r="BN61" i="1"/>
  <c r="BP61" i="1" s="1"/>
  <c r="BQ61" i="1" s="1"/>
  <c r="BR61" i="1" s="1"/>
  <c r="BN62" i="1"/>
  <c r="BN63" i="1"/>
  <c r="BN64" i="1"/>
  <c r="DE6" i="1"/>
  <c r="DF6" i="1" s="1"/>
  <c r="DE7" i="1"/>
  <c r="DF7" i="1" s="1"/>
  <c r="DE8" i="1"/>
  <c r="DF8" i="1" s="1"/>
  <c r="DE9" i="1"/>
  <c r="DF9" i="1" s="1"/>
  <c r="DE10" i="1"/>
  <c r="DF10" i="1" s="1"/>
  <c r="DE11" i="1"/>
  <c r="DF11" i="1" s="1"/>
  <c r="DE12" i="1"/>
  <c r="DF12" i="1" s="1"/>
  <c r="DE13" i="1"/>
  <c r="DF13" i="1" s="1"/>
  <c r="DE14" i="1"/>
  <c r="DF14" i="1" s="1"/>
  <c r="DE15" i="1"/>
  <c r="DF15" i="1" s="1"/>
  <c r="DE16" i="1"/>
  <c r="DF16" i="1" s="1"/>
  <c r="DE17" i="1"/>
  <c r="DF17" i="1" s="1"/>
  <c r="DE18" i="1"/>
  <c r="DF18" i="1" s="1"/>
  <c r="DE19" i="1"/>
  <c r="DF19" i="1" s="1"/>
  <c r="DE20" i="1"/>
  <c r="DF20" i="1" s="1"/>
  <c r="DE21" i="1"/>
  <c r="DF21" i="1" s="1"/>
  <c r="DE22" i="1"/>
  <c r="DF22" i="1" s="1"/>
  <c r="DE23" i="1"/>
  <c r="DF23" i="1" s="1"/>
  <c r="DE24" i="1"/>
  <c r="DF24" i="1" s="1"/>
  <c r="DE25" i="1"/>
  <c r="DF25" i="1" s="1"/>
  <c r="DE26" i="1"/>
  <c r="DF26" i="1" s="1"/>
  <c r="DE27" i="1"/>
  <c r="DF27" i="1" s="1"/>
  <c r="DE28" i="1"/>
  <c r="DF28" i="1" s="1"/>
  <c r="DE29" i="1"/>
  <c r="DF29" i="1" s="1"/>
  <c r="DE30" i="1"/>
  <c r="DF30" i="1" s="1"/>
  <c r="DE31" i="1"/>
  <c r="DF31" i="1" s="1"/>
  <c r="DE32" i="1"/>
  <c r="DF32" i="1" s="1"/>
  <c r="DE33" i="1"/>
  <c r="DF33" i="1" s="1"/>
  <c r="DE34" i="1"/>
  <c r="DF34" i="1" s="1"/>
  <c r="DE35" i="1"/>
  <c r="DF35" i="1" s="1"/>
  <c r="DE36" i="1"/>
  <c r="DF36" i="1" s="1"/>
  <c r="DE37" i="1"/>
  <c r="DF37" i="1" s="1"/>
  <c r="DE38" i="1"/>
  <c r="DF38" i="1" s="1"/>
  <c r="DE39" i="1"/>
  <c r="DF39" i="1" s="1"/>
  <c r="DE40" i="1"/>
  <c r="DF40" i="1" s="1"/>
  <c r="DE41" i="1"/>
  <c r="DF41" i="1" s="1"/>
  <c r="DE42" i="1"/>
  <c r="DF42" i="1" s="1"/>
  <c r="DE43" i="1"/>
  <c r="DF43" i="1" s="1"/>
  <c r="DE44" i="1"/>
  <c r="DF44" i="1" s="1"/>
  <c r="DE45" i="1"/>
  <c r="DF45" i="1" s="1"/>
  <c r="DE46" i="1"/>
  <c r="DF46" i="1" s="1"/>
  <c r="DE47" i="1"/>
  <c r="DF47" i="1" s="1"/>
  <c r="DE48" i="1"/>
  <c r="DF48" i="1" s="1"/>
  <c r="DE49" i="1"/>
  <c r="DF49" i="1" s="1"/>
  <c r="DE50" i="1"/>
  <c r="DF50" i="1" s="1"/>
  <c r="DE51" i="1"/>
  <c r="DF51" i="1" s="1"/>
  <c r="DE52" i="1"/>
  <c r="DF52" i="1" s="1"/>
  <c r="DE53" i="1"/>
  <c r="DF53" i="1" s="1"/>
  <c r="DE54" i="1"/>
  <c r="DF54" i="1" s="1"/>
  <c r="DE55" i="1"/>
  <c r="DF55" i="1" s="1"/>
  <c r="DE56" i="1"/>
  <c r="DF56" i="1" s="1"/>
  <c r="DE57" i="1"/>
  <c r="DF57" i="1" s="1"/>
  <c r="DE58" i="1"/>
  <c r="DF58" i="1" s="1"/>
  <c r="DE59" i="1"/>
  <c r="DF59" i="1" s="1"/>
  <c r="DE60" i="1"/>
  <c r="DF60" i="1" s="1"/>
  <c r="DE5" i="1"/>
  <c r="DF5" i="1" s="1"/>
  <c r="CP6" i="1"/>
  <c r="CQ6" i="1" s="1"/>
  <c r="CP7" i="1"/>
  <c r="CQ7" i="1" s="1"/>
  <c r="CP8" i="1"/>
  <c r="CQ8" i="1" s="1"/>
  <c r="CP9" i="1"/>
  <c r="CQ9" i="1" s="1"/>
  <c r="CP10" i="1"/>
  <c r="CQ10" i="1" s="1"/>
  <c r="CP11" i="1"/>
  <c r="CQ11" i="1" s="1"/>
  <c r="CP12" i="1"/>
  <c r="CQ12" i="1" s="1"/>
  <c r="CP13" i="1"/>
  <c r="CQ13" i="1" s="1"/>
  <c r="CP14" i="1"/>
  <c r="CQ14" i="1" s="1"/>
  <c r="CP16" i="1"/>
  <c r="CQ16" i="1" s="1"/>
  <c r="CP17" i="1"/>
  <c r="CQ17" i="1" s="1"/>
  <c r="CP18" i="1"/>
  <c r="CQ18" i="1" s="1"/>
  <c r="CP19" i="1"/>
  <c r="CQ19" i="1" s="1"/>
  <c r="CP20" i="1"/>
  <c r="CQ20" i="1" s="1"/>
  <c r="CP21" i="1"/>
  <c r="CQ21" i="1" s="1"/>
  <c r="CP22" i="1"/>
  <c r="CQ22" i="1" s="1"/>
  <c r="CP23" i="1"/>
  <c r="CQ23" i="1" s="1"/>
  <c r="CP24" i="1"/>
  <c r="CQ24" i="1" s="1"/>
  <c r="CP25" i="1"/>
  <c r="CQ25" i="1" s="1"/>
  <c r="CP26" i="1"/>
  <c r="CQ26" i="1" s="1"/>
  <c r="CP27" i="1"/>
  <c r="CQ27" i="1" s="1"/>
  <c r="CP28" i="1"/>
  <c r="CQ28" i="1" s="1"/>
  <c r="CP29" i="1"/>
  <c r="CQ29" i="1" s="1"/>
  <c r="CP30" i="1"/>
  <c r="CQ30" i="1" s="1"/>
  <c r="CP31" i="1"/>
  <c r="CQ31" i="1" s="1"/>
  <c r="CP32" i="1"/>
  <c r="CQ32" i="1" s="1"/>
  <c r="CP33" i="1"/>
  <c r="CQ33" i="1" s="1"/>
  <c r="CP34" i="1"/>
  <c r="CQ34" i="1" s="1"/>
  <c r="CP35" i="1"/>
  <c r="CQ35" i="1" s="1"/>
  <c r="CP36" i="1"/>
  <c r="CQ36" i="1" s="1"/>
  <c r="CP37" i="1"/>
  <c r="CQ37" i="1" s="1"/>
  <c r="CP38" i="1"/>
  <c r="CQ38" i="1" s="1"/>
  <c r="CP39" i="1"/>
  <c r="CQ39" i="1" s="1"/>
  <c r="CP40" i="1"/>
  <c r="CQ40" i="1" s="1"/>
  <c r="CP41" i="1"/>
  <c r="CQ41" i="1" s="1"/>
  <c r="CP42" i="1"/>
  <c r="CQ42" i="1" s="1"/>
  <c r="CP43" i="1"/>
  <c r="CQ43" i="1" s="1"/>
  <c r="CP44" i="1"/>
  <c r="CQ44" i="1" s="1"/>
  <c r="CP45" i="1"/>
  <c r="CQ45" i="1" s="1"/>
  <c r="CP46" i="1"/>
  <c r="CQ46" i="1" s="1"/>
  <c r="CP47" i="1"/>
  <c r="CQ47" i="1" s="1"/>
  <c r="CP5" i="1"/>
  <c r="CQ5" i="1" s="1"/>
  <c r="AY5" i="1" l="1"/>
  <c r="AZ5" i="1" s="1"/>
  <c r="BA5" i="1" s="1"/>
  <c r="AX5" i="1"/>
  <c r="AG52" i="1"/>
  <c r="AH52" i="1" s="1"/>
  <c r="AI52" i="1" s="1"/>
  <c r="DG58" i="1"/>
  <c r="DH58" i="1" s="1"/>
  <c r="DG50" i="1"/>
  <c r="DH50" i="1" s="1"/>
  <c r="DG43" i="1"/>
  <c r="DI43" i="1" s="1"/>
  <c r="DJ43" i="1" s="1"/>
  <c r="DK43" i="1" s="1"/>
  <c r="DG35" i="1"/>
  <c r="DI35" i="1" s="1"/>
  <c r="DJ35" i="1" s="1"/>
  <c r="DK35" i="1" s="1"/>
  <c r="DG27" i="1"/>
  <c r="DH27" i="1" s="1"/>
  <c r="DG19" i="1"/>
  <c r="DI19" i="1" s="1"/>
  <c r="DJ19" i="1" s="1"/>
  <c r="DK19" i="1" s="1"/>
  <c r="DG11" i="1"/>
  <c r="DH11" i="1" s="1"/>
  <c r="DG49" i="1"/>
  <c r="DI49" i="1" s="1"/>
  <c r="DJ49" i="1" s="1"/>
  <c r="DK49" i="1" s="1"/>
  <c r="DG56" i="1"/>
  <c r="DI56" i="1" s="1"/>
  <c r="DJ56" i="1" s="1"/>
  <c r="DK56" i="1" s="1"/>
  <c r="DG48" i="1"/>
  <c r="DI48" i="1" s="1"/>
  <c r="DJ48" i="1" s="1"/>
  <c r="DK48" i="1" s="1"/>
  <c r="DG41" i="1"/>
  <c r="DI41" i="1" s="1"/>
  <c r="DJ41" i="1" s="1"/>
  <c r="DK41" i="1" s="1"/>
  <c r="DG33" i="1"/>
  <c r="DI33" i="1" s="1"/>
  <c r="DJ33" i="1" s="1"/>
  <c r="DK33" i="1" s="1"/>
  <c r="DG25" i="1"/>
  <c r="DI25" i="1" s="1"/>
  <c r="DJ25" i="1" s="1"/>
  <c r="DK25" i="1" s="1"/>
  <c r="DG17" i="1"/>
  <c r="DH17" i="1" s="1"/>
  <c r="DG9" i="1"/>
  <c r="DH9" i="1" s="1"/>
  <c r="S13" i="1"/>
  <c r="T13" i="1" s="1"/>
  <c r="Q45" i="1"/>
  <c r="Q13" i="1"/>
  <c r="H16" i="1"/>
  <c r="I16" i="1" s="1"/>
  <c r="H8" i="1"/>
  <c r="I8" i="1" s="1"/>
  <c r="DG57" i="1"/>
  <c r="DI57" i="1" s="1"/>
  <c r="DJ57" i="1" s="1"/>
  <c r="DK57" i="1" s="1"/>
  <c r="DG34" i="1"/>
  <c r="DH34" i="1" s="1"/>
  <c r="DG26" i="1"/>
  <c r="DI26" i="1" s="1"/>
  <c r="DJ26" i="1" s="1"/>
  <c r="DK26" i="1" s="1"/>
  <c r="DG55" i="1"/>
  <c r="DI55" i="1" s="1"/>
  <c r="DJ55" i="1" s="1"/>
  <c r="DK55" i="1" s="1"/>
  <c r="DG40" i="1"/>
  <c r="DH40" i="1" s="1"/>
  <c r="DG32" i="1"/>
  <c r="DI32" i="1" s="1"/>
  <c r="DG24" i="1"/>
  <c r="DH24" i="1" s="1"/>
  <c r="DG16" i="1"/>
  <c r="DI16" i="1" s="1"/>
  <c r="DJ16" i="1" s="1"/>
  <c r="DK16" i="1" s="1"/>
  <c r="DG8" i="1"/>
  <c r="DH8" i="1" s="1"/>
  <c r="H23" i="1"/>
  <c r="I23" i="1" s="1"/>
  <c r="H15" i="1"/>
  <c r="I15" i="1" s="1"/>
  <c r="DG10" i="1"/>
  <c r="DI10" i="1" s="1"/>
  <c r="DJ10" i="1" s="1"/>
  <c r="DK10" i="1" s="1"/>
  <c r="DG54" i="1"/>
  <c r="DI54" i="1" s="1"/>
  <c r="DJ54" i="1" s="1"/>
  <c r="DK54" i="1" s="1"/>
  <c r="DG47" i="1"/>
  <c r="DH47" i="1" s="1"/>
  <c r="DG39" i="1"/>
  <c r="DH39" i="1" s="1"/>
  <c r="DG31" i="1"/>
  <c r="DH31" i="1" s="1"/>
  <c r="DG23" i="1"/>
  <c r="DH23" i="1" s="1"/>
  <c r="DG15" i="1"/>
  <c r="DI15" i="1" s="1"/>
  <c r="DG7" i="1"/>
  <c r="DH7" i="1" s="1"/>
  <c r="Q37" i="1"/>
  <c r="R45" i="1"/>
  <c r="S45" i="1" s="1"/>
  <c r="T45" i="1" s="1"/>
  <c r="G7" i="1"/>
  <c r="H7" i="1" s="1"/>
  <c r="I7" i="1" s="1"/>
  <c r="DG18" i="1"/>
  <c r="DH18" i="1" s="1"/>
  <c r="DG5" i="1"/>
  <c r="DG53" i="1"/>
  <c r="DH53" i="1" s="1"/>
  <c r="DG46" i="1"/>
  <c r="DH46" i="1" s="1"/>
  <c r="DG38" i="1"/>
  <c r="DH38" i="1" s="1"/>
  <c r="DG30" i="1"/>
  <c r="DI30" i="1" s="1"/>
  <c r="DJ30" i="1" s="1"/>
  <c r="DK30" i="1" s="1"/>
  <c r="DG22" i="1"/>
  <c r="DH22" i="1" s="1"/>
  <c r="DG14" i="1"/>
  <c r="DI14" i="1" s="1"/>
  <c r="DG6" i="1"/>
  <c r="DI6" i="1" s="1"/>
  <c r="R37" i="1"/>
  <c r="S37" i="1" s="1"/>
  <c r="T37" i="1" s="1"/>
  <c r="G5" i="1"/>
  <c r="H5" i="1" s="1"/>
  <c r="I5" i="1" s="1"/>
  <c r="F25" i="1"/>
  <c r="R5" i="1"/>
  <c r="S5" i="1" s="1"/>
  <c r="T5" i="1" s="1"/>
  <c r="DG60" i="1"/>
  <c r="DI60" i="1" s="1"/>
  <c r="DJ60" i="1" s="1"/>
  <c r="DK60" i="1" s="1"/>
  <c r="DG52" i="1"/>
  <c r="DH52" i="1" s="1"/>
  <c r="DG45" i="1"/>
  <c r="DI45" i="1" s="1"/>
  <c r="DJ45" i="1" s="1"/>
  <c r="DK45" i="1" s="1"/>
  <c r="DG37" i="1"/>
  <c r="DI37" i="1" s="1"/>
  <c r="DJ37" i="1" s="1"/>
  <c r="DK37" i="1" s="1"/>
  <c r="DG29" i="1"/>
  <c r="DH29" i="1" s="1"/>
  <c r="DG21" i="1"/>
  <c r="DH21" i="1" s="1"/>
  <c r="DG13" i="1"/>
  <c r="DI13" i="1" s="1"/>
  <c r="DJ13" i="1" s="1"/>
  <c r="DK13" i="1" s="1"/>
  <c r="Q29" i="1"/>
  <c r="R29" i="1"/>
  <c r="S29" i="1" s="1"/>
  <c r="T29" i="1" s="1"/>
  <c r="G31" i="1"/>
  <c r="H31" i="1" s="1"/>
  <c r="I31" i="1" s="1"/>
  <c r="F17" i="1"/>
  <c r="DG42" i="1"/>
  <c r="DI42" i="1" s="1"/>
  <c r="DG59" i="1"/>
  <c r="DH59" i="1" s="1"/>
  <c r="DG51" i="1"/>
  <c r="DI51" i="1" s="1"/>
  <c r="DG44" i="1"/>
  <c r="DI44" i="1" s="1"/>
  <c r="DJ44" i="1" s="1"/>
  <c r="DK44" i="1" s="1"/>
  <c r="DG36" i="1"/>
  <c r="DI36" i="1" s="1"/>
  <c r="DG28" i="1"/>
  <c r="DI28" i="1" s="1"/>
  <c r="DG20" i="1"/>
  <c r="DI20" i="1" s="1"/>
  <c r="DJ20" i="1" s="1"/>
  <c r="DK20" i="1" s="1"/>
  <c r="DG12" i="1"/>
  <c r="DI12" i="1" s="1"/>
  <c r="R21" i="1"/>
  <c r="S21" i="1" s="1"/>
  <c r="T21" i="1" s="1"/>
  <c r="G24" i="1"/>
  <c r="H24" i="1" s="1"/>
  <c r="I24" i="1" s="1"/>
  <c r="F9" i="1"/>
  <c r="AG51" i="1"/>
  <c r="AH51" i="1" s="1"/>
  <c r="AI51" i="1" s="1"/>
  <c r="Q44" i="1"/>
  <c r="Q36" i="1"/>
  <c r="Q28" i="1"/>
  <c r="Q20" i="1"/>
  <c r="Q12" i="1"/>
  <c r="R44" i="1"/>
  <c r="S44" i="1" s="1"/>
  <c r="T44" i="1" s="1"/>
  <c r="R36" i="1"/>
  <c r="S36" i="1" s="1"/>
  <c r="T36" i="1" s="1"/>
  <c r="R28" i="1"/>
  <c r="S28" i="1" s="1"/>
  <c r="T28" i="1" s="1"/>
  <c r="R20" i="1"/>
  <c r="S20" i="1" s="1"/>
  <c r="T20" i="1" s="1"/>
  <c r="R12" i="1"/>
  <c r="S12" i="1" s="1"/>
  <c r="T12" i="1" s="1"/>
  <c r="S38" i="1"/>
  <c r="T38" i="1" s="1"/>
  <c r="S30" i="1"/>
  <c r="T30" i="1" s="1"/>
  <c r="S22" i="1"/>
  <c r="T22" i="1" s="1"/>
  <c r="S14" i="1"/>
  <c r="T14" i="1" s="1"/>
  <c r="S6" i="1"/>
  <c r="T6" i="1" s="1"/>
  <c r="H30" i="1"/>
  <c r="I30" i="1" s="1"/>
  <c r="G22" i="1"/>
  <c r="H22" i="1" s="1"/>
  <c r="I22" i="1" s="1"/>
  <c r="G14" i="1"/>
  <c r="H14" i="1" s="1"/>
  <c r="I14" i="1" s="1"/>
  <c r="G6" i="1"/>
  <c r="H6" i="1" s="1"/>
  <c r="I6" i="1" s="1"/>
  <c r="F24" i="1"/>
  <c r="F16" i="1"/>
  <c r="F8" i="1"/>
  <c r="Q43" i="1"/>
  <c r="Q35" i="1"/>
  <c r="Q27" i="1"/>
  <c r="Q19" i="1"/>
  <c r="Q11" i="1"/>
  <c r="R43" i="1"/>
  <c r="S43" i="1" s="1"/>
  <c r="T43" i="1" s="1"/>
  <c r="R35" i="1"/>
  <c r="S35" i="1" s="1"/>
  <c r="T35" i="1" s="1"/>
  <c r="R27" i="1"/>
  <c r="S27" i="1" s="1"/>
  <c r="T27" i="1" s="1"/>
  <c r="R19" i="1"/>
  <c r="S19" i="1" s="1"/>
  <c r="T19" i="1" s="1"/>
  <c r="R11" i="1"/>
  <c r="S11" i="1" s="1"/>
  <c r="T11" i="1" s="1"/>
  <c r="G29" i="1"/>
  <c r="H29" i="1" s="1"/>
  <c r="I29" i="1" s="1"/>
  <c r="G21" i="1"/>
  <c r="H21" i="1" s="1"/>
  <c r="I21" i="1" s="1"/>
  <c r="G13" i="1"/>
  <c r="H13" i="1" s="1"/>
  <c r="I13" i="1" s="1"/>
  <c r="F31" i="1"/>
  <c r="F23" i="1"/>
  <c r="F15" i="1"/>
  <c r="F7" i="1"/>
  <c r="AY64" i="1"/>
  <c r="AZ64" i="1" s="1"/>
  <c r="BA64" i="1" s="1"/>
  <c r="Q42" i="1"/>
  <c r="Q34" i="1"/>
  <c r="Q26" i="1"/>
  <c r="Q18" i="1"/>
  <c r="Q10" i="1"/>
  <c r="R42" i="1"/>
  <c r="S42" i="1" s="1"/>
  <c r="T42" i="1" s="1"/>
  <c r="R34" i="1"/>
  <c r="S34" i="1" s="1"/>
  <c r="T34" i="1" s="1"/>
  <c r="R26" i="1"/>
  <c r="S26" i="1" s="1"/>
  <c r="T26" i="1" s="1"/>
  <c r="R18" i="1"/>
  <c r="S18" i="1" s="1"/>
  <c r="T18" i="1" s="1"/>
  <c r="R10" i="1"/>
  <c r="S10" i="1" s="1"/>
  <c r="T10" i="1" s="1"/>
  <c r="G28" i="1"/>
  <c r="H28" i="1" s="1"/>
  <c r="I28" i="1" s="1"/>
  <c r="G20" i="1"/>
  <c r="H20" i="1" s="1"/>
  <c r="I20" i="1" s="1"/>
  <c r="G12" i="1"/>
  <c r="H12" i="1" s="1"/>
  <c r="I12" i="1" s="1"/>
  <c r="F30" i="1"/>
  <c r="F22" i="1"/>
  <c r="F14" i="1"/>
  <c r="F6" i="1"/>
  <c r="H25" i="1"/>
  <c r="I25" i="1" s="1"/>
  <c r="H17" i="1"/>
  <c r="I17" i="1" s="1"/>
  <c r="H9" i="1"/>
  <c r="I9" i="1" s="1"/>
  <c r="AY63" i="1"/>
  <c r="AZ63" i="1" s="1"/>
  <c r="BA63" i="1" s="1"/>
  <c r="Q41" i="1"/>
  <c r="Q33" i="1"/>
  <c r="Q25" i="1"/>
  <c r="Q17" i="1"/>
  <c r="Q9" i="1"/>
  <c r="R41" i="1"/>
  <c r="S41" i="1" s="1"/>
  <c r="T41" i="1" s="1"/>
  <c r="R33" i="1"/>
  <c r="S33" i="1" s="1"/>
  <c r="T33" i="1" s="1"/>
  <c r="R25" i="1"/>
  <c r="S25" i="1" s="1"/>
  <c r="T25" i="1" s="1"/>
  <c r="R17" i="1"/>
  <c r="S17" i="1" s="1"/>
  <c r="T17" i="1" s="1"/>
  <c r="R9" i="1"/>
  <c r="S9" i="1" s="1"/>
  <c r="T9" i="1" s="1"/>
  <c r="G27" i="1"/>
  <c r="H27" i="1" s="1"/>
  <c r="I27" i="1" s="1"/>
  <c r="G19" i="1"/>
  <c r="H19" i="1" s="1"/>
  <c r="I19" i="1" s="1"/>
  <c r="G11" i="1"/>
  <c r="H11" i="1" s="1"/>
  <c r="I11" i="1" s="1"/>
  <c r="F29" i="1"/>
  <c r="F21" i="1"/>
  <c r="F13" i="1"/>
  <c r="R40" i="1"/>
  <c r="S40" i="1" s="1"/>
  <c r="T40" i="1" s="1"/>
  <c r="R32" i="1"/>
  <c r="S32" i="1" s="1"/>
  <c r="T32" i="1" s="1"/>
  <c r="R24" i="1"/>
  <c r="S24" i="1" s="1"/>
  <c r="T24" i="1" s="1"/>
  <c r="R16" i="1"/>
  <c r="S16" i="1" s="1"/>
  <c r="T16" i="1" s="1"/>
  <c r="R8" i="1"/>
  <c r="S8" i="1" s="1"/>
  <c r="T8" i="1" s="1"/>
  <c r="G26" i="1"/>
  <c r="H26" i="1" s="1"/>
  <c r="I26" i="1" s="1"/>
  <c r="G18" i="1"/>
  <c r="H18" i="1" s="1"/>
  <c r="I18" i="1" s="1"/>
  <c r="G10" i="1"/>
  <c r="H10" i="1" s="1"/>
  <c r="I10" i="1" s="1"/>
  <c r="Q39" i="1"/>
  <c r="Q31" i="1"/>
  <c r="Q23" i="1"/>
  <c r="Q15" i="1"/>
  <c r="Q7" i="1"/>
  <c r="Q38" i="1"/>
  <c r="Q30" i="1"/>
  <c r="Q22" i="1"/>
  <c r="Q14" i="1"/>
  <c r="Q6" i="1"/>
  <c r="AX29" i="1"/>
  <c r="AX6" i="1"/>
  <c r="AX37" i="1"/>
  <c r="AX50" i="1"/>
  <c r="AX22" i="1"/>
  <c r="AX44" i="1"/>
  <c r="AX14" i="1"/>
  <c r="AY31" i="1"/>
  <c r="AZ31" i="1" s="1"/>
  <c r="BA31" i="1" s="1"/>
  <c r="AX61" i="1"/>
  <c r="AX42" i="1"/>
  <c r="AX35" i="1"/>
  <c r="AX27" i="1"/>
  <c r="AX20" i="1"/>
  <c r="AX12" i="1"/>
  <c r="AY57" i="1"/>
  <c r="AZ57" i="1" s="1"/>
  <c r="BA57" i="1" s="1"/>
  <c r="AY51" i="1"/>
  <c r="AZ51" i="1" s="1"/>
  <c r="BA51" i="1" s="1"/>
  <c r="AY45" i="1"/>
  <c r="AZ45" i="1" s="1"/>
  <c r="BA45" i="1" s="1"/>
  <c r="AY38" i="1"/>
  <c r="AZ38" i="1" s="1"/>
  <c r="BA38" i="1" s="1"/>
  <c r="AY30" i="1"/>
  <c r="AZ30" i="1" s="1"/>
  <c r="BA30" i="1" s="1"/>
  <c r="AY23" i="1"/>
  <c r="AZ23" i="1" s="1"/>
  <c r="BA23" i="1" s="1"/>
  <c r="AY15" i="1"/>
  <c r="AZ15" i="1" s="1"/>
  <c r="BA15" i="1" s="1"/>
  <c r="AY7" i="1"/>
  <c r="AZ7" i="1" s="1"/>
  <c r="BA7" i="1" s="1"/>
  <c r="AZ54" i="1"/>
  <c r="BA54" i="1" s="1"/>
  <c r="AZ47" i="1"/>
  <c r="BA47" i="1" s="1"/>
  <c r="AZ40" i="1"/>
  <c r="BA40" i="1" s="1"/>
  <c r="AZ33" i="1"/>
  <c r="BA33" i="1" s="1"/>
  <c r="AZ25" i="1"/>
  <c r="BA25" i="1" s="1"/>
  <c r="AZ18" i="1"/>
  <c r="BA18" i="1" s="1"/>
  <c r="AZ10" i="1"/>
  <c r="BA10" i="1" s="1"/>
  <c r="AY46" i="1"/>
  <c r="AZ46" i="1" s="1"/>
  <c r="BA46" i="1" s="1"/>
  <c r="AY9" i="1"/>
  <c r="AZ9" i="1" s="1"/>
  <c r="BA9" i="1" s="1"/>
  <c r="AY58" i="1"/>
  <c r="AZ58" i="1" s="1"/>
  <c r="BA58" i="1" s="1"/>
  <c r="AY39" i="1"/>
  <c r="AZ39" i="1" s="1"/>
  <c r="BA39" i="1" s="1"/>
  <c r="AY16" i="1"/>
  <c r="AZ16" i="1" s="1"/>
  <c r="BA16" i="1" s="1"/>
  <c r="AZ48" i="1"/>
  <c r="BA48" i="1" s="1"/>
  <c r="AZ26" i="1"/>
  <c r="BA26" i="1" s="1"/>
  <c r="AX60" i="1"/>
  <c r="AX55" i="1"/>
  <c r="AX48" i="1"/>
  <c r="AX41" i="1"/>
  <c r="AX34" i="1"/>
  <c r="AX26" i="1"/>
  <c r="AX19" i="1"/>
  <c r="AX11" i="1"/>
  <c r="AY53" i="1"/>
  <c r="AZ53" i="1" s="1"/>
  <c r="BA53" i="1" s="1"/>
  <c r="AY17" i="1"/>
  <c r="AZ17" i="1" s="1"/>
  <c r="BA17" i="1" s="1"/>
  <c r="AY8" i="1"/>
  <c r="AZ8" i="1" s="1"/>
  <c r="BA8" i="1" s="1"/>
  <c r="AZ55" i="1"/>
  <c r="BA55" i="1" s="1"/>
  <c r="AX54" i="1"/>
  <c r="AX47" i="1"/>
  <c r="AX40" i="1"/>
  <c r="AX33" i="1"/>
  <c r="AX25" i="1"/>
  <c r="AX18" i="1"/>
  <c r="AX10" i="1"/>
  <c r="AY62" i="1"/>
  <c r="AZ62" i="1" s="1"/>
  <c r="BA62" i="1" s="1"/>
  <c r="AY56" i="1"/>
  <c r="AZ56" i="1" s="1"/>
  <c r="BA56" i="1" s="1"/>
  <c r="AY49" i="1"/>
  <c r="AZ49" i="1" s="1"/>
  <c r="BA49" i="1" s="1"/>
  <c r="AY43" i="1"/>
  <c r="AZ43" i="1" s="1"/>
  <c r="BA43" i="1" s="1"/>
  <c r="AY36" i="1"/>
  <c r="AZ36" i="1" s="1"/>
  <c r="BA36" i="1" s="1"/>
  <c r="AY28" i="1"/>
  <c r="AZ28" i="1" s="1"/>
  <c r="BA28" i="1" s="1"/>
  <c r="AY21" i="1"/>
  <c r="AZ21" i="1" s="1"/>
  <c r="BA21" i="1" s="1"/>
  <c r="AY13" i="1"/>
  <c r="AZ13" i="1" s="1"/>
  <c r="BA13" i="1" s="1"/>
  <c r="AY59" i="1"/>
  <c r="AZ59" i="1" s="1"/>
  <c r="BA59" i="1" s="1"/>
  <c r="AY32" i="1"/>
  <c r="AZ32" i="1" s="1"/>
  <c r="BA32" i="1" s="1"/>
  <c r="AY52" i="1"/>
  <c r="AZ52" i="1" s="1"/>
  <c r="BA52" i="1" s="1"/>
  <c r="AY24" i="1"/>
  <c r="AZ24" i="1" s="1"/>
  <c r="BA24" i="1" s="1"/>
  <c r="AZ60" i="1"/>
  <c r="BA60" i="1" s="1"/>
  <c r="AZ41" i="1"/>
  <c r="BA41" i="1" s="1"/>
  <c r="AZ34" i="1"/>
  <c r="BA34" i="1" s="1"/>
  <c r="BO49" i="1"/>
  <c r="BP58" i="1"/>
  <c r="BQ58" i="1" s="1"/>
  <c r="BR58" i="1" s="1"/>
  <c r="BP32" i="1"/>
  <c r="BQ32" i="1" s="1"/>
  <c r="BR32" i="1" s="1"/>
  <c r="BO15" i="1"/>
  <c r="CR26" i="1"/>
  <c r="CT26" i="1" s="1"/>
  <c r="CU26" i="1" s="1"/>
  <c r="CV26" i="1" s="1"/>
  <c r="BQ12" i="1"/>
  <c r="BR12" i="1" s="1"/>
  <c r="BO12" i="1"/>
  <c r="BP30" i="1"/>
  <c r="BQ30" i="1" s="1"/>
  <c r="BR30" i="1" s="1"/>
  <c r="CR46" i="1"/>
  <c r="CS46" i="1" s="1"/>
  <c r="BO55" i="1"/>
  <c r="BO10" i="1"/>
  <c r="BP27" i="1"/>
  <c r="BQ27" i="1" s="1"/>
  <c r="BR27" i="1" s="1"/>
  <c r="CR18" i="1"/>
  <c r="CS18" i="1" s="1"/>
  <c r="BP55" i="1"/>
  <c r="BQ55" i="1" s="1"/>
  <c r="BR55" i="1" s="1"/>
  <c r="BO35" i="1"/>
  <c r="BP45" i="1"/>
  <c r="BQ45" i="1" s="1"/>
  <c r="BR45" i="1" s="1"/>
  <c r="CR25" i="1"/>
  <c r="CT25" i="1" s="1"/>
  <c r="CU25" i="1" s="1"/>
  <c r="CV25" i="1" s="1"/>
  <c r="BO20" i="1"/>
  <c r="BQ42" i="1"/>
  <c r="BR42" i="1" s="1"/>
  <c r="CR31" i="1"/>
  <c r="CT31" i="1" s="1"/>
  <c r="CR8" i="1"/>
  <c r="BO25" i="1"/>
  <c r="BP60" i="1"/>
  <c r="BQ60" i="1" s="1"/>
  <c r="BR60" i="1" s="1"/>
  <c r="BP33" i="1"/>
  <c r="BQ33" i="1" s="1"/>
  <c r="BR33" i="1" s="1"/>
  <c r="BP18" i="1"/>
  <c r="BQ18" i="1" s="1"/>
  <c r="BR18" i="1" s="1"/>
  <c r="BP47" i="1"/>
  <c r="BQ47" i="1" s="1"/>
  <c r="BR47" i="1" s="1"/>
  <c r="CR7" i="1"/>
  <c r="CT7" i="1" s="1"/>
  <c r="CU7" i="1" s="1"/>
  <c r="CV7" i="1" s="1"/>
  <c r="BO24" i="1"/>
  <c r="BP17" i="1"/>
  <c r="BQ17" i="1" s="1"/>
  <c r="BR17" i="1" s="1"/>
  <c r="BO22" i="1"/>
  <c r="BO53" i="1"/>
  <c r="BP41" i="1"/>
  <c r="BQ41" i="1" s="1"/>
  <c r="BR41" i="1" s="1"/>
  <c r="CR42" i="1"/>
  <c r="CT42" i="1" s="1"/>
  <c r="CU42" i="1" s="1"/>
  <c r="CV42" i="1" s="1"/>
  <c r="CR17" i="1"/>
  <c r="CT17" i="1" s="1"/>
  <c r="CU17" i="1" s="1"/>
  <c r="CV17" i="1" s="1"/>
  <c r="BO5" i="1"/>
  <c r="BO52" i="1"/>
  <c r="BO18" i="1"/>
  <c r="BO7" i="1"/>
  <c r="BP40" i="1"/>
  <c r="BQ40" i="1" s="1"/>
  <c r="BR40" i="1" s="1"/>
  <c r="BP9" i="1"/>
  <c r="BQ9" i="1" s="1"/>
  <c r="BR9" i="1" s="1"/>
  <c r="CR34" i="1"/>
  <c r="CT34" i="1" s="1"/>
  <c r="CU34" i="1" s="1"/>
  <c r="CV34" i="1" s="1"/>
  <c r="CR16" i="1"/>
  <c r="CT16" i="1" s="1"/>
  <c r="CU16" i="1" s="1"/>
  <c r="CV16" i="1" s="1"/>
  <c r="BO62" i="1"/>
  <c r="BP5" i="1"/>
  <c r="BQ5" i="1" s="1"/>
  <c r="BR5" i="1" s="1"/>
  <c r="BP38" i="1"/>
  <c r="BQ38" i="1" s="1"/>
  <c r="BR38" i="1" s="1"/>
  <c r="BP22" i="1"/>
  <c r="BQ22" i="1" s="1"/>
  <c r="BR22" i="1" s="1"/>
  <c r="BP7" i="1"/>
  <c r="BQ7" i="1" s="1"/>
  <c r="BR7" i="1" s="1"/>
  <c r="BQ20" i="1"/>
  <c r="BR20" i="1" s="1"/>
  <c r="CR23" i="1"/>
  <c r="CT23" i="1" s="1"/>
  <c r="BQ15" i="1"/>
  <c r="BR15" i="1" s="1"/>
  <c r="BO33" i="1"/>
  <c r="CR43" i="1"/>
  <c r="CS43" i="1" s="1"/>
  <c r="CR10" i="1"/>
  <c r="CS10" i="1" s="1"/>
  <c r="BO60" i="1"/>
  <c r="BP62" i="1"/>
  <c r="BQ62" i="1" s="1"/>
  <c r="BR62" i="1" s="1"/>
  <c r="CR5" i="1"/>
  <c r="CR28" i="1"/>
  <c r="CR20" i="1"/>
  <c r="CR12" i="1"/>
  <c r="CR47" i="1"/>
  <c r="CR41" i="1"/>
  <c r="CR33" i="1"/>
  <c r="CR27" i="1"/>
  <c r="CR19" i="1"/>
  <c r="CR11" i="1"/>
  <c r="DE61" i="1"/>
  <c r="DF61" i="1" s="1"/>
  <c r="CR40" i="1"/>
  <c r="CR32" i="1"/>
  <c r="CR24" i="1"/>
  <c r="CR15" i="1"/>
  <c r="CR6" i="1"/>
  <c r="BQ53" i="1"/>
  <c r="BR53" i="1" s="1"/>
  <c r="BQ25" i="1"/>
  <c r="BR25" i="1" s="1"/>
  <c r="BQ10" i="1"/>
  <c r="BR10" i="1" s="1"/>
  <c r="CR39" i="1"/>
  <c r="CR14" i="1"/>
  <c r="CR38" i="1"/>
  <c r="CR22" i="1"/>
  <c r="CR13" i="1"/>
  <c r="CR45" i="1"/>
  <c r="CR37" i="1"/>
  <c r="CR30" i="1"/>
  <c r="CR21" i="1"/>
  <c r="CR36" i="1"/>
  <c r="CR29" i="1"/>
  <c r="BP64" i="1"/>
  <c r="BQ64" i="1" s="1"/>
  <c r="BR64" i="1" s="1"/>
  <c r="BO64" i="1"/>
  <c r="BP57" i="1"/>
  <c r="BQ57" i="1" s="1"/>
  <c r="BR57" i="1" s="1"/>
  <c r="BO57" i="1"/>
  <c r="BP50" i="1"/>
  <c r="BQ50" i="1" s="1"/>
  <c r="BR50" i="1" s="1"/>
  <c r="BO50" i="1"/>
  <c r="BP44" i="1"/>
  <c r="BQ44" i="1" s="1"/>
  <c r="BR44" i="1" s="1"/>
  <c r="BO44" i="1"/>
  <c r="BP37" i="1"/>
  <c r="BQ37" i="1" s="1"/>
  <c r="BR37" i="1" s="1"/>
  <c r="BO37" i="1"/>
  <c r="BP29" i="1"/>
  <c r="BQ29" i="1" s="1"/>
  <c r="BR29" i="1" s="1"/>
  <c r="BO29" i="1"/>
  <c r="BP21" i="1"/>
  <c r="BQ21" i="1" s="1"/>
  <c r="BR21" i="1" s="1"/>
  <c r="BO21" i="1"/>
  <c r="BP14" i="1"/>
  <c r="BQ14" i="1" s="1"/>
  <c r="BR14" i="1" s="1"/>
  <c r="BO14" i="1"/>
  <c r="BP6" i="1"/>
  <c r="BQ6" i="1" s="1"/>
  <c r="BR6" i="1" s="1"/>
  <c r="BO6" i="1"/>
  <c r="CR44" i="1"/>
  <c r="CR35" i="1"/>
  <c r="CR9" i="1"/>
  <c r="BP63" i="1"/>
  <c r="BQ63" i="1" s="1"/>
  <c r="BR63" i="1" s="1"/>
  <c r="BO63" i="1"/>
  <c r="BP56" i="1"/>
  <c r="BQ56" i="1" s="1"/>
  <c r="BR56" i="1" s="1"/>
  <c r="BO56" i="1"/>
  <c r="BP43" i="1"/>
  <c r="BQ43" i="1" s="1"/>
  <c r="BR43" i="1" s="1"/>
  <c r="BO43" i="1"/>
  <c r="BP36" i="1"/>
  <c r="BQ36" i="1" s="1"/>
  <c r="BR36" i="1" s="1"/>
  <c r="BO36" i="1"/>
  <c r="BP28" i="1"/>
  <c r="BQ28" i="1" s="1"/>
  <c r="BR28" i="1" s="1"/>
  <c r="BO28" i="1"/>
  <c r="BP13" i="1"/>
  <c r="BQ13" i="1" s="1"/>
  <c r="BR13" i="1" s="1"/>
  <c r="BO13" i="1"/>
  <c r="BP59" i="1"/>
  <c r="BQ59" i="1" s="1"/>
  <c r="BR59" i="1" s="1"/>
  <c r="BP51" i="1"/>
  <c r="BQ51" i="1" s="1"/>
  <c r="BR51" i="1" s="1"/>
  <c r="BP46" i="1"/>
  <c r="BQ46" i="1" s="1"/>
  <c r="BR46" i="1" s="1"/>
  <c r="BP39" i="1"/>
  <c r="BQ39" i="1" s="1"/>
  <c r="BR39" i="1" s="1"/>
  <c r="BP31" i="1"/>
  <c r="BQ31" i="1" s="1"/>
  <c r="BR31" i="1" s="1"/>
  <c r="BP23" i="1"/>
  <c r="BQ23" i="1" s="1"/>
  <c r="BR23" i="1" s="1"/>
  <c r="BP16" i="1"/>
  <c r="BQ16" i="1" s="1"/>
  <c r="BR16" i="1" s="1"/>
  <c r="BP8" i="1"/>
  <c r="BQ8" i="1" s="1"/>
  <c r="BR8" i="1" s="1"/>
  <c r="BO61" i="1"/>
  <c r="BO54" i="1"/>
  <c r="BO48" i="1"/>
  <c r="BO42" i="1"/>
  <c r="BO34" i="1"/>
  <c r="BO26" i="1"/>
  <c r="BO19" i="1"/>
  <c r="BO11" i="1"/>
  <c r="CP48" i="1"/>
  <c r="CQ48" i="1" s="1"/>
  <c r="T47" i="1" l="1"/>
  <c r="T46" i="1"/>
  <c r="BA66" i="1"/>
  <c r="BA65" i="1"/>
  <c r="BR66" i="1"/>
  <c r="BR65" i="1"/>
  <c r="I32" i="1"/>
  <c r="I33" i="1"/>
  <c r="DI24" i="1"/>
  <c r="DJ24" i="1" s="1"/>
  <c r="DK24" i="1" s="1"/>
  <c r="DI5" i="1"/>
  <c r="DJ5" i="1" s="1"/>
  <c r="DK5" i="1" s="1"/>
  <c r="DH10" i="1"/>
  <c r="DI31" i="1"/>
  <c r="DJ31" i="1" s="1"/>
  <c r="DK31" i="1" s="1"/>
  <c r="DH55" i="1"/>
  <c r="DH54" i="1"/>
  <c r="DI17" i="1"/>
  <c r="DJ17" i="1" s="1"/>
  <c r="DK17" i="1" s="1"/>
  <c r="DH25" i="1"/>
  <c r="DI23" i="1"/>
  <c r="DJ23" i="1" s="1"/>
  <c r="DK23" i="1" s="1"/>
  <c r="DI58" i="1"/>
  <c r="DJ58" i="1" s="1"/>
  <c r="DK58" i="1" s="1"/>
  <c r="DI53" i="1"/>
  <c r="DJ53" i="1" s="1"/>
  <c r="DK53" i="1" s="1"/>
  <c r="DH44" i="1"/>
  <c r="DH48" i="1"/>
  <c r="DH37" i="1"/>
  <c r="DI22" i="1"/>
  <c r="DJ22" i="1" s="1"/>
  <c r="DK22" i="1" s="1"/>
  <c r="DI27" i="1"/>
  <c r="DJ27" i="1" s="1"/>
  <c r="DK27" i="1" s="1"/>
  <c r="DH56" i="1"/>
  <c r="DJ51" i="1"/>
  <c r="DK51" i="1" s="1"/>
  <c r="DH60" i="1"/>
  <c r="DI46" i="1"/>
  <c r="DJ46" i="1" s="1"/>
  <c r="DK46" i="1" s="1"/>
  <c r="DH26" i="1"/>
  <c r="DI9" i="1"/>
  <c r="DJ9" i="1" s="1"/>
  <c r="DK9" i="1" s="1"/>
  <c r="DJ42" i="1"/>
  <c r="DK42" i="1" s="1"/>
  <c r="DJ6" i="1"/>
  <c r="DK6" i="1" s="1"/>
  <c r="DI38" i="1"/>
  <c r="DJ38" i="1" s="1"/>
  <c r="DK38" i="1" s="1"/>
  <c r="DI34" i="1"/>
  <c r="DJ34" i="1" s="1"/>
  <c r="DK34" i="1" s="1"/>
  <c r="DI21" i="1"/>
  <c r="DJ21" i="1" s="1"/>
  <c r="DK21" i="1" s="1"/>
  <c r="DI18" i="1"/>
  <c r="DJ18" i="1" s="1"/>
  <c r="DK18" i="1" s="1"/>
  <c r="DH36" i="1"/>
  <c r="DH43" i="1"/>
  <c r="DJ36" i="1"/>
  <c r="DK36" i="1" s="1"/>
  <c r="CT43" i="1"/>
  <c r="CU43" i="1" s="1"/>
  <c r="CV43" i="1" s="1"/>
  <c r="DI52" i="1"/>
  <c r="DJ52" i="1" s="1"/>
  <c r="DK52" i="1" s="1"/>
  <c r="DH19" i="1"/>
  <c r="CT18" i="1"/>
  <c r="CU18" i="1" s="1"/>
  <c r="CV18" i="1" s="1"/>
  <c r="DI47" i="1"/>
  <c r="DJ47" i="1" s="1"/>
  <c r="DK47" i="1" s="1"/>
  <c r="DI50" i="1"/>
  <c r="DJ50" i="1" s="1"/>
  <c r="DK50" i="1" s="1"/>
  <c r="DI8" i="1"/>
  <c r="DJ8" i="1" s="1"/>
  <c r="DK8" i="1" s="1"/>
  <c r="DI40" i="1"/>
  <c r="DJ40" i="1" s="1"/>
  <c r="DK40" i="1" s="1"/>
  <c r="DH5" i="1"/>
  <c r="DI39" i="1"/>
  <c r="DJ39" i="1" s="1"/>
  <c r="DK39" i="1" s="1"/>
  <c r="CS26" i="1"/>
  <c r="DI7" i="1"/>
  <c r="DJ7" i="1" s="1"/>
  <c r="DK7" i="1" s="1"/>
  <c r="DJ12" i="1"/>
  <c r="DK12" i="1" s="1"/>
  <c r="DH42" i="1"/>
  <c r="DH41" i="1"/>
  <c r="F32" i="1"/>
  <c r="F33" i="1" s="1"/>
  <c r="CT10" i="1"/>
  <c r="CU10" i="1" s="1"/>
  <c r="CV10" i="1" s="1"/>
  <c r="DI29" i="1"/>
  <c r="DJ29" i="1" s="1"/>
  <c r="DK29" i="1" s="1"/>
  <c r="DH6" i="1"/>
  <c r="DH57" i="1"/>
  <c r="DH16" i="1"/>
  <c r="DH51" i="1"/>
  <c r="DH12" i="1"/>
  <c r="DJ14" i="1"/>
  <c r="DK14" i="1" s="1"/>
  <c r="DI11" i="1"/>
  <c r="DJ11" i="1" s="1"/>
  <c r="DK11" i="1" s="1"/>
  <c r="DH20" i="1"/>
  <c r="DH14" i="1"/>
  <c r="DH13" i="1"/>
  <c r="DH45" i="1"/>
  <c r="DH32" i="1"/>
  <c r="DJ28" i="1"/>
  <c r="DK28" i="1" s="1"/>
  <c r="DH35" i="1"/>
  <c r="DH30" i="1"/>
  <c r="DH33" i="1"/>
  <c r="DH49" i="1"/>
  <c r="DH28" i="1"/>
  <c r="DI59" i="1"/>
  <c r="DJ59" i="1" s="1"/>
  <c r="DK59" i="1" s="1"/>
  <c r="DJ15" i="1"/>
  <c r="DK15" i="1" s="1"/>
  <c r="DH15" i="1"/>
  <c r="DJ32" i="1"/>
  <c r="DK32" i="1" s="1"/>
  <c r="AZ66" i="1"/>
  <c r="S46" i="1"/>
  <c r="S47" i="1"/>
  <c r="H32" i="1"/>
  <c r="H33" i="1"/>
  <c r="BQ66" i="1"/>
  <c r="AZ65" i="1"/>
  <c r="CS25" i="1"/>
  <c r="CS23" i="1"/>
  <c r="CT46" i="1"/>
  <c r="CU46" i="1" s="1"/>
  <c r="CV46" i="1" s="1"/>
  <c r="CS7" i="1"/>
  <c r="CU31" i="1"/>
  <c r="CV31" i="1" s="1"/>
  <c r="CS31" i="1"/>
  <c r="CS17" i="1"/>
  <c r="CS42" i="1"/>
  <c r="CS16" i="1"/>
  <c r="CT8" i="1"/>
  <c r="CU8" i="1" s="1"/>
  <c r="CV8" i="1" s="1"/>
  <c r="CS8" i="1"/>
  <c r="CS34" i="1"/>
  <c r="CU23" i="1"/>
  <c r="CV23" i="1" s="1"/>
  <c r="BQ65" i="1"/>
  <c r="CS30" i="1"/>
  <c r="CT30" i="1"/>
  <c r="CU30" i="1" s="1"/>
  <c r="CV30" i="1" s="1"/>
  <c r="CS38" i="1"/>
  <c r="CT38" i="1"/>
  <c r="CU38" i="1" s="1"/>
  <c r="CV38" i="1" s="1"/>
  <c r="CS47" i="1"/>
  <c r="CT47" i="1"/>
  <c r="CU47" i="1" s="1"/>
  <c r="CV47" i="1" s="1"/>
  <c r="CT12" i="1"/>
  <c r="CU12" i="1" s="1"/>
  <c r="CV12" i="1" s="1"/>
  <c r="CS12" i="1"/>
  <c r="CS29" i="1"/>
  <c r="CT29" i="1"/>
  <c r="CU29" i="1" s="1"/>
  <c r="CV29" i="1" s="1"/>
  <c r="CT27" i="1"/>
  <c r="CU27" i="1" s="1"/>
  <c r="CV27" i="1" s="1"/>
  <c r="CS27" i="1"/>
  <c r="CS24" i="1"/>
  <c r="CT24" i="1"/>
  <c r="CU24" i="1" s="1"/>
  <c r="CV24" i="1" s="1"/>
  <c r="CT14" i="1"/>
  <c r="CU14" i="1" s="1"/>
  <c r="CV14" i="1" s="1"/>
  <c r="CS14" i="1"/>
  <c r="CT44" i="1"/>
  <c r="CU44" i="1" s="1"/>
  <c r="CV44" i="1" s="1"/>
  <c r="CS44" i="1"/>
  <c r="CT20" i="1"/>
  <c r="CU20" i="1" s="1"/>
  <c r="CV20" i="1" s="1"/>
  <c r="CS20" i="1"/>
  <c r="CT45" i="1"/>
  <c r="CU45" i="1" s="1"/>
  <c r="CV45" i="1" s="1"/>
  <c r="CS45" i="1"/>
  <c r="CT33" i="1"/>
  <c r="CU33" i="1" s="1"/>
  <c r="CV33" i="1" s="1"/>
  <c r="CS33" i="1"/>
  <c r="CT28" i="1"/>
  <c r="CU28" i="1" s="1"/>
  <c r="CV28" i="1" s="1"/>
  <c r="CS28" i="1"/>
  <c r="CT9" i="1"/>
  <c r="CU9" i="1" s="1"/>
  <c r="CV9" i="1" s="1"/>
  <c r="CS9" i="1"/>
  <c r="CT39" i="1"/>
  <c r="CU39" i="1" s="1"/>
  <c r="CV39" i="1" s="1"/>
  <c r="CS39" i="1"/>
  <c r="CT35" i="1"/>
  <c r="CU35" i="1" s="1"/>
  <c r="CV35" i="1" s="1"/>
  <c r="CS35" i="1"/>
  <c r="CT19" i="1"/>
  <c r="CU19" i="1" s="1"/>
  <c r="CV19" i="1" s="1"/>
  <c r="CS19" i="1"/>
  <c r="CT37" i="1"/>
  <c r="CU37" i="1" s="1"/>
  <c r="CV37" i="1" s="1"/>
  <c r="CS37" i="1"/>
  <c r="CT32" i="1"/>
  <c r="CU32" i="1" s="1"/>
  <c r="CV32" i="1" s="1"/>
  <c r="CS32" i="1"/>
  <c r="CS36" i="1"/>
  <c r="CT36" i="1"/>
  <c r="CU36" i="1" s="1"/>
  <c r="CV36" i="1" s="1"/>
  <c r="CS40" i="1"/>
  <c r="CT40" i="1"/>
  <c r="CU40" i="1" s="1"/>
  <c r="CV40" i="1" s="1"/>
  <c r="CS13" i="1"/>
  <c r="CT13" i="1"/>
  <c r="CU13" i="1" s="1"/>
  <c r="CV13" i="1" s="1"/>
  <c r="CS6" i="1"/>
  <c r="CT6" i="1"/>
  <c r="CU6" i="1" s="1"/>
  <c r="CV6" i="1" s="1"/>
  <c r="CT11" i="1"/>
  <c r="CU11" i="1" s="1"/>
  <c r="CV11" i="1" s="1"/>
  <c r="CS11" i="1"/>
  <c r="CT41" i="1"/>
  <c r="CU41" i="1" s="1"/>
  <c r="CV41" i="1" s="1"/>
  <c r="CS41" i="1"/>
  <c r="CS21" i="1"/>
  <c r="CT21" i="1"/>
  <c r="CU21" i="1" s="1"/>
  <c r="CV21" i="1" s="1"/>
  <c r="CS22" i="1"/>
  <c r="CT22" i="1"/>
  <c r="CU22" i="1" s="1"/>
  <c r="CV22" i="1" s="1"/>
  <c r="CT15" i="1"/>
  <c r="CU15" i="1" s="1"/>
  <c r="CV15" i="1" s="1"/>
  <c r="CS15" i="1"/>
  <c r="CT5" i="1"/>
  <c r="CU5" i="1" s="1"/>
  <c r="CS5" i="1"/>
  <c r="CU49" i="1" l="1"/>
  <c r="CV49" i="1" s="1"/>
  <c r="CV5" i="1"/>
  <c r="CV48" i="1" s="1"/>
  <c r="DK61" i="1"/>
  <c r="CU48" i="1"/>
  <c r="DJ61" i="1"/>
  <c r="DJ62" i="1"/>
  <c r="DK62" i="1" s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E23" i="1" l="1"/>
  <c r="AD23" i="1"/>
  <c r="AE8" i="1"/>
  <c r="AD8" i="1"/>
  <c r="AE16" i="1"/>
  <c r="AD16" i="1"/>
  <c r="AE28" i="1"/>
  <c r="AD28" i="1"/>
  <c r="AD5" i="1"/>
  <c r="AE5" i="1"/>
  <c r="AE9" i="1"/>
  <c r="AD9" i="1"/>
  <c r="AE13" i="1"/>
  <c r="AD13" i="1"/>
  <c r="AE17" i="1"/>
  <c r="AD17" i="1"/>
  <c r="AE21" i="1"/>
  <c r="AD21" i="1"/>
  <c r="AE25" i="1"/>
  <c r="AD25" i="1"/>
  <c r="AE29" i="1"/>
  <c r="AD29" i="1"/>
  <c r="AE33" i="1"/>
  <c r="AD33" i="1"/>
  <c r="AE37" i="1"/>
  <c r="AD37" i="1"/>
  <c r="AE41" i="1"/>
  <c r="AD41" i="1"/>
  <c r="AE45" i="1"/>
  <c r="AD45" i="1"/>
  <c r="AE49" i="1"/>
  <c r="AD49" i="1"/>
  <c r="AE15" i="1"/>
  <c r="AD15" i="1"/>
  <c r="AE6" i="1"/>
  <c r="AD6" i="1"/>
  <c r="AE10" i="1"/>
  <c r="AD10" i="1"/>
  <c r="AE14" i="1"/>
  <c r="AD14" i="1"/>
  <c r="AE18" i="1"/>
  <c r="AD18" i="1"/>
  <c r="AE22" i="1"/>
  <c r="AD22" i="1"/>
  <c r="AE26" i="1"/>
  <c r="AD26" i="1"/>
  <c r="AE30" i="1"/>
  <c r="AD30" i="1"/>
  <c r="AE34" i="1"/>
  <c r="AD34" i="1"/>
  <c r="AE38" i="1"/>
  <c r="AD38" i="1"/>
  <c r="AE42" i="1"/>
  <c r="AD42" i="1"/>
  <c r="AE46" i="1"/>
  <c r="AD46" i="1"/>
  <c r="AE50" i="1"/>
  <c r="AD50" i="1"/>
  <c r="AE11" i="1"/>
  <c r="AD11" i="1"/>
  <c r="AE27" i="1"/>
  <c r="AD27" i="1"/>
  <c r="AE31" i="1"/>
  <c r="AD31" i="1"/>
  <c r="AE35" i="1"/>
  <c r="AD35" i="1"/>
  <c r="AE39" i="1"/>
  <c r="AD39" i="1"/>
  <c r="AE43" i="1"/>
  <c r="AD43" i="1"/>
  <c r="AE47" i="1"/>
  <c r="AD47" i="1"/>
  <c r="AE7" i="1"/>
  <c r="AD7" i="1"/>
  <c r="AE19" i="1"/>
  <c r="AD19" i="1"/>
  <c r="AE12" i="1"/>
  <c r="AD12" i="1"/>
  <c r="AE20" i="1"/>
  <c r="AD20" i="1"/>
  <c r="AE24" i="1"/>
  <c r="AD24" i="1"/>
  <c r="AE32" i="1"/>
  <c r="AD32" i="1"/>
  <c r="AE36" i="1"/>
  <c r="AD36" i="1"/>
  <c r="AE40" i="1"/>
  <c r="AD40" i="1"/>
  <c r="AE44" i="1"/>
  <c r="AD44" i="1"/>
  <c r="AE48" i="1"/>
  <c r="AD48" i="1"/>
  <c r="AF13" i="1"/>
  <c r="AG13" i="1"/>
  <c r="AH13" i="1" s="1"/>
  <c r="AI13" i="1" s="1"/>
  <c r="AF50" i="1"/>
  <c r="AG50" i="1"/>
  <c r="AH50" i="1" s="1"/>
  <c r="AI50" i="1" s="1"/>
  <c r="AF22" i="1"/>
  <c r="AG22" i="1"/>
  <c r="AH22" i="1" s="1"/>
  <c r="AI22" i="1" s="1"/>
  <c r="AF15" i="1"/>
  <c r="AG15" i="1"/>
  <c r="AH15" i="1" s="1"/>
  <c r="AI15" i="1" s="1"/>
  <c r="AF23" i="1"/>
  <c r="AG23" i="1"/>
  <c r="AH23" i="1" s="1"/>
  <c r="AI23" i="1" s="1"/>
  <c r="AF31" i="1"/>
  <c r="AG31" i="1"/>
  <c r="AH31" i="1" s="1"/>
  <c r="AI31" i="1" s="1"/>
  <c r="AF39" i="1"/>
  <c r="AG39" i="1"/>
  <c r="AH39" i="1" s="1"/>
  <c r="AI39" i="1" s="1"/>
  <c r="AF45" i="1"/>
  <c r="AG45" i="1"/>
  <c r="AH45" i="1" s="1"/>
  <c r="AI45" i="1" s="1"/>
  <c r="AF43" i="1"/>
  <c r="AG43" i="1"/>
  <c r="AH43" i="1" s="1"/>
  <c r="AI43" i="1" s="1"/>
  <c r="AF38" i="1"/>
  <c r="AG38" i="1"/>
  <c r="AH38" i="1" s="1"/>
  <c r="AI38" i="1" s="1"/>
  <c r="AG8" i="1"/>
  <c r="AH8" i="1" s="1"/>
  <c r="AI8" i="1" s="1"/>
  <c r="AF8" i="1"/>
  <c r="AG16" i="1"/>
  <c r="AH16" i="1" s="1"/>
  <c r="AI16" i="1" s="1"/>
  <c r="AF16" i="1"/>
  <c r="AG24" i="1"/>
  <c r="AH24" i="1" s="1"/>
  <c r="AI24" i="1" s="1"/>
  <c r="AF24" i="1"/>
  <c r="AG32" i="1"/>
  <c r="AH32" i="1" s="1"/>
  <c r="AI32" i="1" s="1"/>
  <c r="AF32" i="1"/>
  <c r="AG46" i="1"/>
  <c r="AH46" i="1" s="1"/>
  <c r="AI46" i="1" s="1"/>
  <c r="AF46" i="1"/>
  <c r="AF21" i="1"/>
  <c r="AG21" i="1"/>
  <c r="AH21" i="1" s="1"/>
  <c r="AI21" i="1" s="1"/>
  <c r="AF44" i="1"/>
  <c r="AG44" i="1"/>
  <c r="AH44" i="1" s="1"/>
  <c r="AI44" i="1" s="1"/>
  <c r="AG17" i="1"/>
  <c r="AH17" i="1" s="1"/>
  <c r="AI17" i="1" s="1"/>
  <c r="AF17" i="1"/>
  <c r="AG25" i="1"/>
  <c r="AH25" i="1" s="1"/>
  <c r="AI25" i="1" s="1"/>
  <c r="AF25" i="1"/>
  <c r="AG33" i="1"/>
  <c r="AH33" i="1" s="1"/>
  <c r="AI33" i="1" s="1"/>
  <c r="AF33" i="1"/>
  <c r="AG40" i="1"/>
  <c r="AH40" i="1" s="1"/>
  <c r="AI40" i="1" s="1"/>
  <c r="AF40" i="1"/>
  <c r="AG47" i="1"/>
  <c r="AH47" i="1" s="1"/>
  <c r="AI47" i="1" s="1"/>
  <c r="AF47" i="1"/>
  <c r="AC53" i="1"/>
  <c r="AD53" i="1" s="1"/>
  <c r="AF6" i="1"/>
  <c r="AG6" i="1"/>
  <c r="AH6" i="1" s="1"/>
  <c r="AI6" i="1" s="1"/>
  <c r="AG9" i="1"/>
  <c r="AH9" i="1" s="1"/>
  <c r="AI9" i="1" s="1"/>
  <c r="AF9" i="1"/>
  <c r="AG10" i="1"/>
  <c r="AH10" i="1" s="1"/>
  <c r="AI10" i="1" s="1"/>
  <c r="AF10" i="1"/>
  <c r="AG18" i="1"/>
  <c r="AH18" i="1" s="1"/>
  <c r="AI18" i="1" s="1"/>
  <c r="AF18" i="1"/>
  <c r="AG26" i="1"/>
  <c r="AH26" i="1" s="1"/>
  <c r="AI26" i="1" s="1"/>
  <c r="AF26" i="1"/>
  <c r="AG34" i="1"/>
  <c r="AH34" i="1" s="1"/>
  <c r="AI34" i="1" s="1"/>
  <c r="AF34" i="1"/>
  <c r="AG48" i="1"/>
  <c r="AH48" i="1" s="1"/>
  <c r="AI48" i="1" s="1"/>
  <c r="AF48" i="1"/>
  <c r="AF37" i="1"/>
  <c r="AG37" i="1"/>
  <c r="AH37" i="1" s="1"/>
  <c r="AI37" i="1" s="1"/>
  <c r="AF30" i="1"/>
  <c r="AG30" i="1"/>
  <c r="AH30" i="1" s="1"/>
  <c r="AI30" i="1" s="1"/>
  <c r="AG11" i="1"/>
  <c r="AH11" i="1" s="1"/>
  <c r="AI11" i="1" s="1"/>
  <c r="AF11" i="1"/>
  <c r="AG19" i="1"/>
  <c r="AH19" i="1" s="1"/>
  <c r="AI19" i="1" s="1"/>
  <c r="AF19" i="1"/>
  <c r="AG27" i="1"/>
  <c r="AH27" i="1" s="1"/>
  <c r="AI27" i="1" s="1"/>
  <c r="AF27" i="1"/>
  <c r="AG35" i="1"/>
  <c r="AH35" i="1" s="1"/>
  <c r="AI35" i="1" s="1"/>
  <c r="AF35" i="1"/>
  <c r="AG41" i="1"/>
  <c r="AH41" i="1" s="1"/>
  <c r="AI41" i="1" s="1"/>
  <c r="AF41" i="1"/>
  <c r="AG49" i="1"/>
  <c r="AH49" i="1" s="1"/>
  <c r="AI49" i="1" s="1"/>
  <c r="AF49" i="1"/>
  <c r="AF29" i="1"/>
  <c r="AG29" i="1"/>
  <c r="AH29" i="1" s="1"/>
  <c r="AI29" i="1" s="1"/>
  <c r="AF14" i="1"/>
  <c r="AG14" i="1"/>
  <c r="AH14" i="1" s="1"/>
  <c r="AI14" i="1" s="1"/>
  <c r="AF7" i="1"/>
  <c r="AG7" i="1"/>
  <c r="AH7" i="1" s="1"/>
  <c r="AI7" i="1" s="1"/>
  <c r="AG12" i="1"/>
  <c r="AH12" i="1" s="1"/>
  <c r="AI12" i="1" s="1"/>
  <c r="AF12" i="1"/>
  <c r="AG20" i="1"/>
  <c r="AH20" i="1" s="1"/>
  <c r="AI20" i="1" s="1"/>
  <c r="AF20" i="1"/>
  <c r="AG28" i="1"/>
  <c r="AH28" i="1" s="1"/>
  <c r="AI28" i="1" s="1"/>
  <c r="AF28" i="1"/>
  <c r="AG36" i="1"/>
  <c r="AH36" i="1" s="1"/>
  <c r="AI36" i="1" s="1"/>
  <c r="AF36" i="1"/>
  <c r="AG42" i="1"/>
  <c r="AH42" i="1" s="1"/>
  <c r="AI42" i="1" s="1"/>
  <c r="AF42" i="1"/>
  <c r="BW66" i="3"/>
  <c r="BY66" i="3" s="1"/>
  <c r="BG5" i="3"/>
  <c r="BI5" i="3" s="1"/>
  <c r="BG6" i="3"/>
  <c r="BI6" i="3" s="1"/>
  <c r="BJ6" i="3" s="1"/>
  <c r="BK6" i="3" s="1"/>
  <c r="BG7" i="3"/>
  <c r="BH7" i="3" s="1"/>
  <c r="BG8" i="3"/>
  <c r="BH8" i="3" s="1"/>
  <c r="BG9" i="3"/>
  <c r="BH9" i="3" s="1"/>
  <c r="BG10" i="3"/>
  <c r="BI10" i="3" s="1"/>
  <c r="BG11" i="3"/>
  <c r="BI11" i="3" s="1"/>
  <c r="BG12" i="3"/>
  <c r="BI12" i="3" s="1"/>
  <c r="BG13" i="3"/>
  <c r="BG14" i="3"/>
  <c r="BI14" i="3" s="1"/>
  <c r="BJ14" i="3" s="1"/>
  <c r="BK14" i="3" s="1"/>
  <c r="BG15" i="3"/>
  <c r="BG16" i="3"/>
  <c r="BH16" i="3" s="1"/>
  <c r="BG17" i="3"/>
  <c r="BI17" i="3" s="1"/>
  <c r="BG18" i="3"/>
  <c r="BI18" i="3" s="1"/>
  <c r="BG19" i="3"/>
  <c r="BI19" i="3" s="1"/>
  <c r="BG20" i="3"/>
  <c r="BG21" i="3"/>
  <c r="BI21" i="3" s="1"/>
  <c r="BG22" i="3"/>
  <c r="BI22" i="3" s="1"/>
  <c r="BG23" i="3"/>
  <c r="BG24" i="3"/>
  <c r="BH24" i="3" s="1"/>
  <c r="BG25" i="3"/>
  <c r="BI25" i="3" s="1"/>
  <c r="BG26" i="3"/>
  <c r="BI26" i="3" s="1"/>
  <c r="BG27" i="3"/>
  <c r="BI27" i="3" s="1"/>
  <c r="BG28" i="3"/>
  <c r="BG29" i="3"/>
  <c r="BI29" i="3" s="1"/>
  <c r="BG30" i="3"/>
  <c r="BI30" i="3" s="1"/>
  <c r="BJ30" i="3" s="1"/>
  <c r="BK30" i="3" s="1"/>
  <c r="BG31" i="3"/>
  <c r="BH31" i="3" s="1"/>
  <c r="BG32" i="3"/>
  <c r="BI32" i="3" s="1"/>
  <c r="BJ32" i="3" s="1"/>
  <c r="BK32" i="3" s="1"/>
  <c r="BG33" i="3"/>
  <c r="BI33" i="3" s="1"/>
  <c r="BG34" i="3"/>
  <c r="BI34" i="3" s="1"/>
  <c r="BG35" i="3"/>
  <c r="BG36" i="3"/>
  <c r="BI36" i="3" s="1"/>
  <c r="BG37" i="3"/>
  <c r="BG38" i="3"/>
  <c r="BI38" i="3" s="1"/>
  <c r="BG39" i="3"/>
  <c r="BG40" i="3"/>
  <c r="BI40" i="3" s="1"/>
  <c r="BJ40" i="3" s="1"/>
  <c r="BK40" i="3" s="1"/>
  <c r="BG41" i="3"/>
  <c r="BH41" i="3" s="1"/>
  <c r="BG42" i="3"/>
  <c r="BI42" i="3" s="1"/>
  <c r="BG43" i="3"/>
  <c r="BI43" i="3" s="1"/>
  <c r="BG44" i="3"/>
  <c r="BG45" i="3"/>
  <c r="BG46" i="3"/>
  <c r="BI46" i="3" s="1"/>
  <c r="BJ46" i="3" s="1"/>
  <c r="BK46" i="3" s="1"/>
  <c r="BG47" i="3"/>
  <c r="BH47" i="3" s="1"/>
  <c r="BG48" i="3"/>
  <c r="BI48" i="3" s="1"/>
  <c r="BJ48" i="3" s="1"/>
  <c r="BK48" i="3" s="1"/>
  <c r="BG49" i="3"/>
  <c r="BI49" i="3" s="1"/>
  <c r="BG50" i="3"/>
  <c r="BI50" i="3" s="1"/>
  <c r="BG51" i="3"/>
  <c r="BH51" i="3" s="1"/>
  <c r="BG52" i="3"/>
  <c r="BG53" i="3"/>
  <c r="BI53" i="3" s="1"/>
  <c r="BG54" i="3"/>
  <c r="BI54" i="3" s="1"/>
  <c r="BJ54" i="3" s="1"/>
  <c r="BK54" i="3" s="1"/>
  <c r="BG55" i="3"/>
  <c r="BI55" i="3" s="1"/>
  <c r="BG56" i="3"/>
  <c r="BH56" i="3" s="1"/>
  <c r="BG57" i="3"/>
  <c r="BH57" i="3" s="1"/>
  <c r="BG58" i="3"/>
  <c r="BI58" i="3" s="1"/>
  <c r="BG4" i="3"/>
  <c r="BH4" i="3" s="1"/>
  <c r="AU5" i="3"/>
  <c r="AV5" i="3" s="1"/>
  <c r="AU6" i="3"/>
  <c r="AU7" i="3"/>
  <c r="AU8" i="3"/>
  <c r="AW8" i="3" s="1"/>
  <c r="AU9" i="3"/>
  <c r="AV9" i="3" s="1"/>
  <c r="AU10" i="3"/>
  <c r="AW10" i="3" s="1"/>
  <c r="AU11" i="3"/>
  <c r="AU12" i="3"/>
  <c r="AW12" i="3" s="1"/>
  <c r="AU13" i="3"/>
  <c r="AV13" i="3" s="1"/>
  <c r="AU14" i="3"/>
  <c r="AV14" i="3" s="1"/>
  <c r="AU15" i="3"/>
  <c r="AW15" i="3" s="1"/>
  <c r="AU16" i="3"/>
  <c r="AV16" i="3" s="1"/>
  <c r="AU17" i="3"/>
  <c r="AV17" i="3" s="1"/>
  <c r="AU18" i="3"/>
  <c r="AW18" i="3" s="1"/>
  <c r="AX18" i="3" s="1"/>
  <c r="AY18" i="3" s="1"/>
  <c r="AU19" i="3"/>
  <c r="AW19" i="3" s="1"/>
  <c r="AU20" i="3"/>
  <c r="AW20" i="3" s="1"/>
  <c r="AU21" i="3"/>
  <c r="AV21" i="3" s="1"/>
  <c r="AU22" i="3"/>
  <c r="AW22" i="3" s="1"/>
  <c r="AU23" i="3"/>
  <c r="AV23" i="3" s="1"/>
  <c r="AU24" i="3"/>
  <c r="AU25" i="3"/>
  <c r="AW25" i="3" s="1"/>
  <c r="AU26" i="3"/>
  <c r="AU27" i="3"/>
  <c r="AV27" i="3" s="1"/>
  <c r="AU28" i="3"/>
  <c r="AW28" i="3" s="1"/>
  <c r="AX28" i="3" s="1"/>
  <c r="AY28" i="3" s="1"/>
  <c r="AU29" i="3"/>
  <c r="AU30" i="3"/>
  <c r="AW30" i="3" s="1"/>
  <c r="AU31" i="3"/>
  <c r="AU32" i="3"/>
  <c r="AU33" i="3"/>
  <c r="AV33" i="3" s="1"/>
  <c r="AU34" i="3"/>
  <c r="AU35" i="3"/>
  <c r="AV35" i="3" s="1"/>
  <c r="AU36" i="3"/>
  <c r="AW36" i="3" s="1"/>
  <c r="AX36" i="3" s="1"/>
  <c r="AY36" i="3" s="1"/>
  <c r="AU37" i="3"/>
  <c r="AW37" i="3" s="1"/>
  <c r="AU38" i="3"/>
  <c r="AW38" i="3" s="1"/>
  <c r="AX38" i="3" s="1"/>
  <c r="AY38" i="3" s="1"/>
  <c r="AU39" i="3"/>
  <c r="AW39" i="3" s="1"/>
  <c r="AU40" i="3"/>
  <c r="AU41" i="3"/>
  <c r="AW41" i="3" s="1"/>
  <c r="AU42" i="3"/>
  <c r="AW42" i="3" s="1"/>
  <c r="AU43" i="3"/>
  <c r="AW43" i="3" s="1"/>
  <c r="AX43" i="3" s="1"/>
  <c r="AY43" i="3" s="1"/>
  <c r="AU44" i="3"/>
  <c r="AV44" i="3" s="1"/>
  <c r="AU45" i="3"/>
  <c r="AV45" i="3" s="1"/>
  <c r="AU46" i="3"/>
  <c r="AU47" i="3"/>
  <c r="AU48" i="3"/>
  <c r="AW48" i="3" s="1"/>
  <c r="AX48" i="3" s="1"/>
  <c r="AY48" i="3" s="1"/>
  <c r="AU49" i="3"/>
  <c r="AU50" i="3"/>
  <c r="AW50" i="3" s="1"/>
  <c r="AU4" i="3"/>
  <c r="AW4" i="3" s="1"/>
  <c r="AX4" i="3" s="1"/>
  <c r="AY4" i="3" s="1"/>
  <c r="AE51" i="3"/>
  <c r="AF51" i="3" s="1"/>
  <c r="AE52" i="3"/>
  <c r="AF52" i="3" s="1"/>
  <c r="P5" i="3"/>
  <c r="P6" i="3"/>
  <c r="R6" i="3" s="1"/>
  <c r="S6" i="3" s="1"/>
  <c r="T6" i="3" s="1"/>
  <c r="P7" i="3"/>
  <c r="R7" i="3" s="1"/>
  <c r="P8" i="3"/>
  <c r="P9" i="3"/>
  <c r="Q9" i="3" s="1"/>
  <c r="P10" i="3"/>
  <c r="P11" i="3"/>
  <c r="P12" i="3"/>
  <c r="R12" i="3" s="1"/>
  <c r="P13" i="3"/>
  <c r="Q13" i="3" s="1"/>
  <c r="P14" i="3"/>
  <c r="R14" i="3" s="1"/>
  <c r="S14" i="3" s="1"/>
  <c r="T14" i="3" s="1"/>
  <c r="P15" i="3"/>
  <c r="P16" i="3"/>
  <c r="P17" i="3"/>
  <c r="Q17" i="3" s="1"/>
  <c r="P18" i="3"/>
  <c r="R18" i="3" s="1"/>
  <c r="P19" i="3"/>
  <c r="R19" i="3" s="1"/>
  <c r="P20" i="3"/>
  <c r="Q20" i="3" s="1"/>
  <c r="P21" i="3"/>
  <c r="Q21" i="3" s="1"/>
  <c r="P22" i="3"/>
  <c r="Q22" i="3" s="1"/>
  <c r="P23" i="3"/>
  <c r="R23" i="3" s="1"/>
  <c r="P24" i="3"/>
  <c r="P25" i="3"/>
  <c r="P26" i="3"/>
  <c r="P27" i="3"/>
  <c r="R27" i="3" s="1"/>
  <c r="P28" i="3"/>
  <c r="R28" i="3" s="1"/>
  <c r="S28" i="3" s="1"/>
  <c r="T28" i="3" s="1"/>
  <c r="P29" i="3"/>
  <c r="Q29" i="3" s="1"/>
  <c r="P30" i="3"/>
  <c r="Q30" i="3" s="1"/>
  <c r="P31" i="3"/>
  <c r="R31" i="3" s="1"/>
  <c r="P32" i="3"/>
  <c r="Q32" i="3" s="1"/>
  <c r="P33" i="3"/>
  <c r="Q33" i="3" s="1"/>
  <c r="P34" i="3"/>
  <c r="P35" i="3"/>
  <c r="R35" i="3" s="1"/>
  <c r="P36" i="3"/>
  <c r="R36" i="3" s="1"/>
  <c r="P37" i="3"/>
  <c r="Q37" i="3" s="1"/>
  <c r="P38" i="3"/>
  <c r="Q38" i="3" s="1"/>
  <c r="P39" i="3"/>
  <c r="Q39" i="3" s="1"/>
  <c r="P40" i="3"/>
  <c r="P41" i="3"/>
  <c r="Q41" i="3" s="1"/>
  <c r="P42" i="3"/>
  <c r="Q42" i="3" s="1"/>
  <c r="P43" i="3"/>
  <c r="R43" i="3" s="1"/>
  <c r="P44" i="3"/>
  <c r="Q44" i="3" s="1"/>
  <c r="P45" i="3"/>
  <c r="Q45" i="3" s="1"/>
  <c r="R4" i="3"/>
  <c r="S4" i="3" s="1"/>
  <c r="T4" i="3" s="1"/>
  <c r="G7" i="3"/>
  <c r="H7" i="3" s="1"/>
  <c r="I7" i="3" s="1"/>
  <c r="G9" i="3"/>
  <c r="F11" i="3"/>
  <c r="G13" i="3"/>
  <c r="G15" i="3"/>
  <c r="H15" i="3" s="1"/>
  <c r="I15" i="3" s="1"/>
  <c r="F17" i="3"/>
  <c r="F19" i="3"/>
  <c r="G21" i="3"/>
  <c r="F23" i="3"/>
  <c r="G25" i="3"/>
  <c r="F27" i="3"/>
  <c r="G29" i="3"/>
  <c r="G5" i="3"/>
  <c r="BH38" i="3" l="1"/>
  <c r="BI7" i="3"/>
  <c r="BJ7" i="3" s="1"/>
  <c r="BK7" i="3" s="1"/>
  <c r="BH30" i="3"/>
  <c r="AG5" i="1"/>
  <c r="AH5" i="1" s="1"/>
  <c r="AI5" i="1" s="1"/>
  <c r="AF5" i="1"/>
  <c r="BH40" i="3"/>
  <c r="Q12" i="3"/>
  <c r="BJ38" i="3"/>
  <c r="BK38" i="3" s="1"/>
  <c r="R44" i="3"/>
  <c r="S44" i="3" s="1"/>
  <c r="T44" i="3" s="1"/>
  <c r="F25" i="3"/>
  <c r="BJ22" i="3"/>
  <c r="BK22" i="3" s="1"/>
  <c r="G19" i="3"/>
  <c r="H19" i="3" s="1"/>
  <c r="I19" i="3" s="1"/>
  <c r="AV50" i="3"/>
  <c r="AV41" i="3"/>
  <c r="R30" i="3"/>
  <c r="S30" i="3" s="1"/>
  <c r="T30" i="3" s="1"/>
  <c r="AW5" i="3"/>
  <c r="AX5" i="3" s="1"/>
  <c r="AY5" i="3" s="1"/>
  <c r="BH54" i="3"/>
  <c r="R32" i="3"/>
  <c r="S32" i="3" s="1"/>
  <c r="T32" i="3" s="1"/>
  <c r="AV19" i="3"/>
  <c r="BH22" i="3"/>
  <c r="R22" i="3"/>
  <c r="S22" i="3" s="1"/>
  <c r="T22" i="3" s="1"/>
  <c r="BH10" i="3"/>
  <c r="Q28" i="3"/>
  <c r="BI4" i="3"/>
  <c r="BJ4" i="3" s="1"/>
  <c r="BK4" i="3" s="1"/>
  <c r="BI57" i="3"/>
  <c r="BJ57" i="3" s="1"/>
  <c r="BK57" i="3" s="1"/>
  <c r="BI16" i="3"/>
  <c r="BJ16" i="3" s="1"/>
  <c r="BK16" i="3" s="1"/>
  <c r="H25" i="3"/>
  <c r="I25" i="3" s="1"/>
  <c r="H9" i="3"/>
  <c r="I9" i="3" s="1"/>
  <c r="G17" i="3"/>
  <c r="H17" i="3" s="1"/>
  <c r="I17" i="3" s="1"/>
  <c r="Q36" i="3"/>
  <c r="R20" i="3"/>
  <c r="S20" i="3" s="1"/>
  <c r="T20" i="3" s="1"/>
  <c r="AX50" i="3"/>
  <c r="AY50" i="3" s="1"/>
  <c r="BH50" i="3"/>
  <c r="BH33" i="3"/>
  <c r="BI56" i="3"/>
  <c r="BJ56" i="3" s="1"/>
  <c r="BK56" i="3" s="1"/>
  <c r="BJ34" i="3"/>
  <c r="BK34" i="3" s="1"/>
  <c r="BI41" i="3"/>
  <c r="BJ41" i="3" s="1"/>
  <c r="BK41" i="3" s="1"/>
  <c r="BH17" i="3"/>
  <c r="G11" i="3"/>
  <c r="H11" i="3" s="1"/>
  <c r="I11" i="3" s="1"/>
  <c r="R33" i="3"/>
  <c r="S33" i="3" s="1"/>
  <c r="T33" i="3" s="1"/>
  <c r="AX41" i="3"/>
  <c r="AY41" i="3" s="1"/>
  <c r="AV42" i="3"/>
  <c r="AX20" i="3"/>
  <c r="AY20" i="3" s="1"/>
  <c r="BH49" i="3"/>
  <c r="BH32" i="3"/>
  <c r="BH14" i="3"/>
  <c r="BI8" i="3"/>
  <c r="BJ8" i="3" s="1"/>
  <c r="BK8" i="3" s="1"/>
  <c r="AX19" i="3"/>
  <c r="AY19" i="3" s="1"/>
  <c r="BH48" i="3"/>
  <c r="AW33" i="3"/>
  <c r="AX33" i="3" s="1"/>
  <c r="AY33" i="3" s="1"/>
  <c r="AX10" i="3"/>
  <c r="AY10" i="3" s="1"/>
  <c r="BH46" i="3"/>
  <c r="BH26" i="3"/>
  <c r="BI24" i="3"/>
  <c r="BJ24" i="3" s="1"/>
  <c r="BK24" i="3" s="1"/>
  <c r="BJ18" i="3"/>
  <c r="BK18" i="3" s="1"/>
  <c r="AX12" i="3"/>
  <c r="AY12" i="3" s="1"/>
  <c r="F9" i="3"/>
  <c r="AX22" i="3"/>
  <c r="AY22" i="3" s="1"/>
  <c r="BH42" i="3"/>
  <c r="BH25" i="3"/>
  <c r="BJ58" i="3"/>
  <c r="BK58" i="3" s="1"/>
  <c r="BJ10" i="3"/>
  <c r="BK10" i="3" s="1"/>
  <c r="G27" i="3"/>
  <c r="H27" i="3" s="1"/>
  <c r="I27" i="3" s="1"/>
  <c r="S36" i="3"/>
  <c r="T36" i="3" s="1"/>
  <c r="S12" i="3"/>
  <c r="T12" i="3" s="1"/>
  <c r="BH6" i="3"/>
  <c r="BJ50" i="3"/>
  <c r="BK50" i="3" s="1"/>
  <c r="R11" i="3"/>
  <c r="S11" i="3" s="1"/>
  <c r="T11" i="3" s="1"/>
  <c r="Q11" i="3"/>
  <c r="S43" i="3"/>
  <c r="T43" i="3" s="1"/>
  <c r="AV24" i="3"/>
  <c r="AW47" i="3"/>
  <c r="AX47" i="3" s="1"/>
  <c r="AY47" i="3" s="1"/>
  <c r="AW23" i="3"/>
  <c r="AX23" i="3" s="1"/>
  <c r="AY23" i="3" s="1"/>
  <c r="AW6" i="3"/>
  <c r="AX6" i="3" s="1"/>
  <c r="AY6" i="3" s="1"/>
  <c r="AX39" i="3"/>
  <c r="AY39" i="3" s="1"/>
  <c r="BI52" i="3"/>
  <c r="BJ52" i="3" s="1"/>
  <c r="BK52" i="3" s="1"/>
  <c r="BI44" i="3"/>
  <c r="BJ44" i="3" s="1"/>
  <c r="BK44" i="3" s="1"/>
  <c r="BH44" i="3"/>
  <c r="BI28" i="3"/>
  <c r="BJ28" i="3" s="1"/>
  <c r="BK28" i="3" s="1"/>
  <c r="BI20" i="3"/>
  <c r="BJ20" i="3" s="1"/>
  <c r="BK20" i="3" s="1"/>
  <c r="BH20" i="3"/>
  <c r="R42" i="3"/>
  <c r="S42" i="3" s="1"/>
  <c r="T42" i="3" s="1"/>
  <c r="F7" i="3"/>
  <c r="Q43" i="3"/>
  <c r="Q35" i="3"/>
  <c r="Q27" i="3"/>
  <c r="Q19" i="3"/>
  <c r="Q10" i="3"/>
  <c r="R41" i="3"/>
  <c r="S41" i="3" s="1"/>
  <c r="T41" i="3" s="1"/>
  <c r="R9" i="3"/>
  <c r="S9" i="3" s="1"/>
  <c r="T9" i="3" s="1"/>
  <c r="S19" i="3"/>
  <c r="T19" i="3" s="1"/>
  <c r="AV32" i="3"/>
  <c r="AV22" i="3"/>
  <c r="AW45" i="3"/>
  <c r="AX45" i="3" s="1"/>
  <c r="AY45" i="3" s="1"/>
  <c r="AW32" i="3"/>
  <c r="AX32" i="3" s="1"/>
  <c r="AY32" i="3" s="1"/>
  <c r="AW21" i="3"/>
  <c r="AX21" i="3" s="1"/>
  <c r="AY21" i="3" s="1"/>
  <c r="BH28" i="3"/>
  <c r="BH12" i="3"/>
  <c r="BJ36" i="3"/>
  <c r="BK36" i="3" s="1"/>
  <c r="H13" i="3"/>
  <c r="I13" i="3" s="1"/>
  <c r="Q34" i="3"/>
  <c r="Q26" i="3"/>
  <c r="Q18" i="3"/>
  <c r="Q8" i="3"/>
  <c r="R8" i="3"/>
  <c r="S8" i="3" s="1"/>
  <c r="T8" i="3" s="1"/>
  <c r="S18" i="3"/>
  <c r="T18" i="3" s="1"/>
  <c r="AX37" i="3"/>
  <c r="AY37" i="3" s="1"/>
  <c r="AV31" i="3"/>
  <c r="AV8" i="3"/>
  <c r="AW44" i="3"/>
  <c r="AX44" i="3" s="1"/>
  <c r="AY44" i="3" s="1"/>
  <c r="AW31" i="3"/>
  <c r="AX31" i="3" s="1"/>
  <c r="AY31" i="3" s="1"/>
  <c r="AW16" i="3"/>
  <c r="AX16" i="3" s="1"/>
  <c r="AY16" i="3" s="1"/>
  <c r="BJ12" i="3"/>
  <c r="BK12" i="3" s="1"/>
  <c r="H21" i="3"/>
  <c r="I21" i="3" s="1"/>
  <c r="R40" i="3"/>
  <c r="S40" i="3" s="1"/>
  <c r="T40" i="3" s="1"/>
  <c r="F29" i="3"/>
  <c r="AV30" i="3"/>
  <c r="AX30" i="3"/>
  <c r="AY30" i="3" s="1"/>
  <c r="R10" i="3"/>
  <c r="S10" i="3" s="1"/>
  <c r="T10" i="3" s="1"/>
  <c r="AW7" i="3"/>
  <c r="AX7" i="3" s="1"/>
  <c r="AY7" i="3" s="1"/>
  <c r="F15" i="3"/>
  <c r="F13" i="3"/>
  <c r="S31" i="3"/>
  <c r="T31" i="3" s="1"/>
  <c r="Q7" i="3"/>
  <c r="R39" i="3"/>
  <c r="S39" i="3" s="1"/>
  <c r="T39" i="3" s="1"/>
  <c r="AV40" i="3"/>
  <c r="AV7" i="3"/>
  <c r="BH52" i="3"/>
  <c r="G23" i="3"/>
  <c r="H23" i="3" s="1"/>
  <c r="I23" i="3" s="1"/>
  <c r="Q40" i="3"/>
  <c r="Q24" i="3"/>
  <c r="Q16" i="3"/>
  <c r="Q6" i="3"/>
  <c r="R38" i="3"/>
  <c r="S38" i="3" s="1"/>
  <c r="T38" i="3" s="1"/>
  <c r="R26" i="3"/>
  <c r="S26" i="3" s="1"/>
  <c r="T26" i="3" s="1"/>
  <c r="R16" i="3"/>
  <c r="S16" i="3" s="1"/>
  <c r="T16" i="3" s="1"/>
  <c r="AW35" i="3"/>
  <c r="AX35" i="3" s="1"/>
  <c r="AY35" i="3" s="1"/>
  <c r="AW27" i="3"/>
  <c r="AX27" i="3" s="1"/>
  <c r="AY27" i="3" s="1"/>
  <c r="AV11" i="3"/>
  <c r="AW11" i="3"/>
  <c r="AX11" i="3" s="1"/>
  <c r="AY11" i="3" s="1"/>
  <c r="AV48" i="3"/>
  <c r="AV39" i="3"/>
  <c r="AV29" i="3"/>
  <c r="AV6" i="3"/>
  <c r="AW40" i="3"/>
  <c r="AX40" i="3" s="1"/>
  <c r="AY40" i="3" s="1"/>
  <c r="AW29" i="3"/>
  <c r="AX29" i="3" s="1"/>
  <c r="AY29" i="3" s="1"/>
  <c r="AW14" i="3"/>
  <c r="AX14" i="3" s="1"/>
  <c r="AY14" i="3" s="1"/>
  <c r="BH55" i="3"/>
  <c r="BJ55" i="3"/>
  <c r="BK55" i="3" s="1"/>
  <c r="BH39" i="3"/>
  <c r="BI39" i="3"/>
  <c r="BJ39" i="3" s="1"/>
  <c r="BK39" i="3" s="1"/>
  <c r="BH23" i="3"/>
  <c r="BI23" i="3"/>
  <c r="BJ23" i="3" s="1"/>
  <c r="BK23" i="3" s="1"/>
  <c r="BH15" i="3"/>
  <c r="BI31" i="3"/>
  <c r="BJ31" i="3" s="1"/>
  <c r="BK31" i="3" s="1"/>
  <c r="BI15" i="3"/>
  <c r="BJ15" i="3" s="1"/>
  <c r="BK15" i="3" s="1"/>
  <c r="AW46" i="3"/>
  <c r="AX46" i="3" s="1"/>
  <c r="AY46" i="3" s="1"/>
  <c r="H29" i="3"/>
  <c r="I29" i="3" s="1"/>
  <c r="F5" i="3"/>
  <c r="S23" i="3"/>
  <c r="T23" i="3" s="1"/>
  <c r="Q25" i="3"/>
  <c r="R17" i="3"/>
  <c r="S17" i="3" s="1"/>
  <c r="T17" i="3" s="1"/>
  <c r="R45" i="3"/>
  <c r="S45" i="3" s="1"/>
  <c r="T45" i="3" s="1"/>
  <c r="R37" i="3"/>
  <c r="S37" i="3" s="1"/>
  <c r="T37" i="3" s="1"/>
  <c r="R29" i="3"/>
  <c r="S29" i="3" s="1"/>
  <c r="T29" i="3" s="1"/>
  <c r="R21" i="3"/>
  <c r="S21" i="3" s="1"/>
  <c r="T21" i="3" s="1"/>
  <c r="R13" i="3"/>
  <c r="S13" i="3" s="1"/>
  <c r="T13" i="3" s="1"/>
  <c r="R5" i="3"/>
  <c r="S5" i="3" s="1"/>
  <c r="T5" i="3" s="1"/>
  <c r="Q31" i="3"/>
  <c r="Q23" i="3"/>
  <c r="Q15" i="3"/>
  <c r="Q5" i="3"/>
  <c r="R25" i="3"/>
  <c r="S25" i="3" s="1"/>
  <c r="T25" i="3" s="1"/>
  <c r="R15" i="3"/>
  <c r="S15" i="3" s="1"/>
  <c r="T15" i="3" s="1"/>
  <c r="S35" i="3"/>
  <c r="T35" i="3" s="1"/>
  <c r="AV47" i="3"/>
  <c r="AV38" i="3"/>
  <c r="AW13" i="3"/>
  <c r="AX13" i="3" s="1"/>
  <c r="AY13" i="3" s="1"/>
  <c r="AX42" i="3"/>
  <c r="AY42" i="3" s="1"/>
  <c r="AX8" i="3"/>
  <c r="AY8" i="3" s="1"/>
  <c r="BH36" i="3"/>
  <c r="BI47" i="3"/>
  <c r="BJ47" i="3" s="1"/>
  <c r="BK47" i="3" s="1"/>
  <c r="AX15" i="3"/>
  <c r="AY15" i="3" s="1"/>
  <c r="H5" i="3"/>
  <c r="I5" i="3" s="1"/>
  <c r="F21" i="3"/>
  <c r="S7" i="3"/>
  <c r="T7" i="3" s="1"/>
  <c r="S27" i="3"/>
  <c r="T27" i="3" s="1"/>
  <c r="Q4" i="3"/>
  <c r="Q14" i="3"/>
  <c r="R34" i="3"/>
  <c r="S34" i="3" s="1"/>
  <c r="T34" i="3" s="1"/>
  <c r="R24" i="3"/>
  <c r="S24" i="3" s="1"/>
  <c r="T24" i="3" s="1"/>
  <c r="AX25" i="3"/>
  <c r="AY25" i="3" s="1"/>
  <c r="AW17" i="3"/>
  <c r="AX17" i="3" s="1"/>
  <c r="AY17" i="3" s="1"/>
  <c r="AW9" i="3"/>
  <c r="AX9" i="3" s="1"/>
  <c r="AY9" i="3" s="1"/>
  <c r="AV46" i="3"/>
  <c r="AV37" i="3"/>
  <c r="AV25" i="3"/>
  <c r="AV15" i="3"/>
  <c r="AW24" i="3"/>
  <c r="AX24" i="3" s="1"/>
  <c r="AY24" i="3" s="1"/>
  <c r="BH53" i="3"/>
  <c r="BJ53" i="3"/>
  <c r="BK53" i="3" s="1"/>
  <c r="BH45" i="3"/>
  <c r="BH37" i="3"/>
  <c r="BI37" i="3"/>
  <c r="BJ37" i="3" s="1"/>
  <c r="BK37" i="3" s="1"/>
  <c r="BH29" i="3"/>
  <c r="BJ29" i="3"/>
  <c r="BK29" i="3" s="1"/>
  <c r="BH21" i="3"/>
  <c r="BJ21" i="3"/>
  <c r="BK21" i="3" s="1"/>
  <c r="BH13" i="3"/>
  <c r="BI13" i="3"/>
  <c r="BJ13" i="3" s="1"/>
  <c r="BK13" i="3" s="1"/>
  <c r="BH5" i="3"/>
  <c r="BJ5" i="3"/>
  <c r="BK5" i="3" s="1"/>
  <c r="BI45" i="3"/>
  <c r="BJ45" i="3" s="1"/>
  <c r="BK45" i="3" s="1"/>
  <c r="AV4" i="3"/>
  <c r="AV43" i="3"/>
  <c r="AV36" i="3"/>
  <c r="AV28" i="3"/>
  <c r="AV20" i="3"/>
  <c r="AV12" i="3"/>
  <c r="BJ43" i="3"/>
  <c r="BK43" i="3" s="1"/>
  <c r="BH43" i="3"/>
  <c r="BH35" i="3"/>
  <c r="BJ27" i="3"/>
  <c r="BK27" i="3" s="1"/>
  <c r="BH27" i="3"/>
  <c r="BJ19" i="3"/>
  <c r="BK19" i="3" s="1"/>
  <c r="BH19" i="3"/>
  <c r="BJ11" i="3"/>
  <c r="BK11" i="3" s="1"/>
  <c r="BH11" i="3"/>
  <c r="BH58" i="3"/>
  <c r="BH34" i="3"/>
  <c r="BI51" i="3"/>
  <c r="BJ51" i="3" s="1"/>
  <c r="BK51" i="3" s="1"/>
  <c r="BJ42" i="3"/>
  <c r="BK42" i="3" s="1"/>
  <c r="BX66" i="3"/>
  <c r="BZ66" i="3"/>
  <c r="CA66" i="3" s="1"/>
  <c r="AV49" i="3"/>
  <c r="AV34" i="3"/>
  <c r="AV26" i="3"/>
  <c r="AV18" i="3"/>
  <c r="AV10" i="3"/>
  <c r="AW49" i="3"/>
  <c r="AX49" i="3" s="1"/>
  <c r="AY49" i="3" s="1"/>
  <c r="AW34" i="3"/>
  <c r="AX34" i="3" s="1"/>
  <c r="AY34" i="3" s="1"/>
  <c r="AW26" i="3"/>
  <c r="AX26" i="3" s="1"/>
  <c r="AY26" i="3" s="1"/>
  <c r="BJ49" i="3"/>
  <c r="BK49" i="3" s="1"/>
  <c r="BJ33" i="3"/>
  <c r="BK33" i="3" s="1"/>
  <c r="BJ25" i="3"/>
  <c r="BK25" i="3" s="1"/>
  <c r="BJ17" i="3"/>
  <c r="BK17" i="3" s="1"/>
  <c r="BH18" i="3"/>
  <c r="BI35" i="3"/>
  <c r="BJ35" i="3" s="1"/>
  <c r="BK35" i="3" s="1"/>
  <c r="BI9" i="3"/>
  <c r="BJ9" i="3" s="1"/>
  <c r="BK9" i="3" s="1"/>
  <c r="BJ26" i="3"/>
  <c r="BK26" i="3" s="1"/>
  <c r="AG52" i="3"/>
  <c r="AH52" i="3" s="1"/>
  <c r="AI52" i="3" s="1"/>
  <c r="AG51" i="3"/>
  <c r="AH51" i="3" s="1"/>
  <c r="AI51" i="3" s="1"/>
  <c r="AY51" i="3" l="1"/>
  <c r="T47" i="3"/>
  <c r="T46" i="3"/>
  <c r="AI53" i="1"/>
  <c r="AI54" i="1"/>
  <c r="BK59" i="3"/>
  <c r="BK60" i="3"/>
  <c r="AY52" i="3"/>
  <c r="S47" i="3"/>
  <c r="AX52" i="3"/>
  <c r="BJ60" i="3"/>
  <c r="AH53" i="1"/>
  <c r="AH54" i="1"/>
  <c r="S46" i="3"/>
  <c r="AX51" i="3"/>
  <c r="BJ59" i="3"/>
  <c r="CZ5" i="3" l="1"/>
  <c r="CZ6" i="3"/>
  <c r="CZ7" i="3"/>
  <c r="CZ8" i="3"/>
  <c r="DB8" i="3" s="1"/>
  <c r="DC8" i="3" s="1"/>
  <c r="DD8" i="3" s="1"/>
  <c r="DE8" i="3" s="1"/>
  <c r="DF8" i="3" s="1"/>
  <c r="CZ9" i="3"/>
  <c r="DB9" i="3" s="1"/>
  <c r="DC9" i="3" s="1"/>
  <c r="DD9" i="3" s="1"/>
  <c r="DE9" i="3" s="1"/>
  <c r="DF9" i="3" s="1"/>
  <c r="CZ10" i="3"/>
  <c r="DB10" i="3" s="1"/>
  <c r="DC10" i="3" s="1"/>
  <c r="DD10" i="3" s="1"/>
  <c r="DE10" i="3" s="1"/>
  <c r="DF10" i="3" s="1"/>
  <c r="CZ11" i="3"/>
  <c r="DB11" i="3" s="1"/>
  <c r="DC11" i="3" s="1"/>
  <c r="DD11" i="3" s="1"/>
  <c r="DE11" i="3" s="1"/>
  <c r="DF11" i="3" s="1"/>
  <c r="CZ12" i="3"/>
  <c r="CZ13" i="3"/>
  <c r="CZ14" i="3"/>
  <c r="CZ15" i="3"/>
  <c r="CZ16" i="3"/>
  <c r="CZ17" i="3"/>
  <c r="CZ18" i="3"/>
  <c r="CZ19" i="3"/>
  <c r="CZ20" i="3"/>
  <c r="CZ21" i="3"/>
  <c r="CZ22" i="3"/>
  <c r="CZ23" i="3"/>
  <c r="CZ24" i="3"/>
  <c r="CZ25" i="3"/>
  <c r="CZ26" i="3"/>
  <c r="CZ27" i="3"/>
  <c r="CZ28" i="3"/>
  <c r="CZ29" i="3"/>
  <c r="CZ30" i="3"/>
  <c r="CZ31" i="3"/>
  <c r="CZ32" i="3"/>
  <c r="CZ33" i="3"/>
  <c r="CZ34" i="3"/>
  <c r="CZ35" i="3"/>
  <c r="CZ36" i="3"/>
  <c r="CZ37" i="3"/>
  <c r="CZ38" i="3"/>
  <c r="CZ39" i="3"/>
  <c r="CZ40" i="3"/>
  <c r="CZ41" i="3"/>
  <c r="CZ42" i="3"/>
  <c r="CZ43" i="3"/>
  <c r="CZ44" i="3"/>
  <c r="CZ45" i="3"/>
  <c r="CZ46" i="3"/>
  <c r="CZ47" i="3"/>
  <c r="CZ48" i="3"/>
  <c r="CZ49" i="3"/>
  <c r="CZ50" i="3"/>
  <c r="CZ51" i="3"/>
  <c r="CZ52" i="3"/>
  <c r="CZ53" i="3"/>
  <c r="CZ54" i="3"/>
  <c r="CZ55" i="3"/>
  <c r="CZ56" i="3"/>
  <c r="CZ57" i="3"/>
  <c r="CZ58" i="3"/>
  <c r="CZ59" i="3"/>
  <c r="CZ60" i="3"/>
  <c r="CZ61" i="3"/>
  <c r="CZ62" i="3"/>
  <c r="CZ63" i="3"/>
  <c r="CZ64" i="3"/>
  <c r="CZ65" i="3"/>
  <c r="CZ66" i="3"/>
  <c r="CZ67" i="3"/>
  <c r="CZ68" i="3"/>
  <c r="CZ69" i="3"/>
  <c r="CZ70" i="3"/>
  <c r="CZ71" i="3"/>
  <c r="CZ4" i="3"/>
  <c r="DB60" i="3" l="1"/>
  <c r="DC60" i="3" s="1"/>
  <c r="DD60" i="3" s="1"/>
  <c r="DE60" i="3" s="1"/>
  <c r="DF60" i="3" s="1"/>
  <c r="DB36" i="3"/>
  <c r="DC36" i="3" s="1"/>
  <c r="DD36" i="3" s="1"/>
  <c r="DE36" i="3" s="1"/>
  <c r="DF36" i="3" s="1"/>
  <c r="DB28" i="3"/>
  <c r="DC28" i="3" s="1"/>
  <c r="DD28" i="3" s="1"/>
  <c r="DE28" i="3" s="1"/>
  <c r="DF28" i="3" s="1"/>
  <c r="DB67" i="3"/>
  <c r="DC67" i="3" s="1"/>
  <c r="DD67" i="3" s="1"/>
  <c r="DE67" i="3" s="1"/>
  <c r="DF67" i="3" s="1"/>
  <c r="DB43" i="3"/>
  <c r="DC43" i="3" s="1"/>
  <c r="DD43" i="3" s="1"/>
  <c r="DE43" i="3" s="1"/>
  <c r="DF43" i="3" s="1"/>
  <c r="DB35" i="3"/>
  <c r="DC35" i="3" s="1"/>
  <c r="DD35" i="3" s="1"/>
  <c r="DE35" i="3" s="1"/>
  <c r="DF35" i="3" s="1"/>
  <c r="DB19" i="3"/>
  <c r="DC19" i="3" s="1"/>
  <c r="DD19" i="3" s="1"/>
  <c r="DE19" i="3" s="1"/>
  <c r="DF19" i="3" s="1"/>
  <c r="DB58" i="3"/>
  <c r="DC58" i="3" s="1"/>
  <c r="DD58" i="3" s="1"/>
  <c r="DE58" i="3" s="1"/>
  <c r="DF58" i="3" s="1"/>
  <c r="DB49" i="3"/>
  <c r="DC49" i="3" s="1"/>
  <c r="DD49" i="3" s="1"/>
  <c r="DE49" i="3" s="1"/>
  <c r="DF49" i="3" s="1"/>
  <c r="DB33" i="3"/>
  <c r="DC33" i="3" s="1"/>
  <c r="DD33" i="3" s="1"/>
  <c r="DE33" i="3" s="1"/>
  <c r="DF33" i="3" s="1"/>
  <c r="DB17" i="3"/>
  <c r="DC17" i="3" s="1"/>
  <c r="DD17" i="3" s="1"/>
  <c r="DE17" i="3" s="1"/>
  <c r="DF17" i="3" s="1"/>
  <c r="DB63" i="3"/>
  <c r="DC63" i="3" s="1"/>
  <c r="DD63" i="3" s="1"/>
  <c r="DE63" i="3" s="1"/>
  <c r="DF63" i="3" s="1"/>
  <c r="DB55" i="3"/>
  <c r="DC55" i="3" s="1"/>
  <c r="DD55" i="3" s="1"/>
  <c r="DE55" i="3" s="1"/>
  <c r="DF55" i="3" s="1"/>
  <c r="DB47" i="3"/>
  <c r="DC47" i="3" s="1"/>
  <c r="DD47" i="3" s="1"/>
  <c r="DE47" i="3" s="1"/>
  <c r="DF47" i="3" s="1"/>
  <c r="DB39" i="3"/>
  <c r="DC39" i="3" s="1"/>
  <c r="DD39" i="3" s="1"/>
  <c r="DE39" i="3" s="1"/>
  <c r="DF39" i="3" s="1"/>
  <c r="DB31" i="3"/>
  <c r="DC31" i="3" s="1"/>
  <c r="DD31" i="3" s="1"/>
  <c r="DE31" i="3" s="1"/>
  <c r="DF31" i="3" s="1"/>
  <c r="DB23" i="3"/>
  <c r="DC23" i="3" s="1"/>
  <c r="DD23" i="3" s="1"/>
  <c r="DE23" i="3" s="1"/>
  <c r="DF23" i="3" s="1"/>
  <c r="DB15" i="3"/>
  <c r="DC15" i="3" s="1"/>
  <c r="DD15" i="3" s="1"/>
  <c r="DE15" i="3" s="1"/>
  <c r="DF15" i="3" s="1"/>
  <c r="DB52" i="3"/>
  <c r="DC52" i="3" s="1"/>
  <c r="DD52" i="3" s="1"/>
  <c r="DE52" i="3" s="1"/>
  <c r="DF52" i="3" s="1"/>
  <c r="DB12" i="3"/>
  <c r="DC12" i="3" s="1"/>
  <c r="DD12" i="3" s="1"/>
  <c r="DE12" i="3" s="1"/>
  <c r="DF12" i="3" s="1"/>
  <c r="DB51" i="3"/>
  <c r="DC51" i="3" s="1"/>
  <c r="DD51" i="3" s="1"/>
  <c r="DE51" i="3" s="1"/>
  <c r="DF51" i="3" s="1"/>
  <c r="DB27" i="3"/>
  <c r="DC27" i="3" s="1"/>
  <c r="DD27" i="3" s="1"/>
  <c r="DE27" i="3" s="1"/>
  <c r="DF27" i="3" s="1"/>
  <c r="DB66" i="3"/>
  <c r="DB42" i="3"/>
  <c r="DC42" i="3" s="1"/>
  <c r="DD42" i="3" s="1"/>
  <c r="DE42" i="3" s="1"/>
  <c r="DF42" i="3" s="1"/>
  <c r="DB18" i="3"/>
  <c r="DC18" i="3" s="1"/>
  <c r="DD18" i="3" s="1"/>
  <c r="DE18" i="3" s="1"/>
  <c r="DF18" i="3" s="1"/>
  <c r="DB57" i="3"/>
  <c r="DC57" i="3" s="1"/>
  <c r="DD57" i="3" s="1"/>
  <c r="DE57" i="3" s="1"/>
  <c r="DF57" i="3" s="1"/>
  <c r="DB41" i="3"/>
  <c r="DC41" i="3" s="1"/>
  <c r="DD41" i="3" s="1"/>
  <c r="DE41" i="3" s="1"/>
  <c r="DF41" i="3" s="1"/>
  <c r="DB25" i="3"/>
  <c r="DC25" i="3" s="1"/>
  <c r="DD25" i="3" s="1"/>
  <c r="DE25" i="3" s="1"/>
  <c r="DF25" i="3" s="1"/>
  <c r="DB56" i="3"/>
  <c r="DC56" i="3" s="1"/>
  <c r="DD56" i="3" s="1"/>
  <c r="DE56" i="3" s="1"/>
  <c r="DF56" i="3" s="1"/>
  <c r="DB16" i="3"/>
  <c r="DC16" i="3" s="1"/>
  <c r="DD16" i="3" s="1"/>
  <c r="DE16" i="3" s="1"/>
  <c r="DF16" i="3" s="1"/>
  <c r="DB71" i="3"/>
  <c r="DC71" i="3" s="1"/>
  <c r="DD71" i="3" s="1"/>
  <c r="DE71" i="3" s="1"/>
  <c r="DF71" i="3" s="1"/>
  <c r="DB70" i="3"/>
  <c r="DC70" i="3" s="1"/>
  <c r="DD70" i="3" s="1"/>
  <c r="DE70" i="3" s="1"/>
  <c r="DF70" i="3" s="1"/>
  <c r="DB62" i="3"/>
  <c r="DC62" i="3" s="1"/>
  <c r="DD62" i="3" s="1"/>
  <c r="DE62" i="3" s="1"/>
  <c r="DF62" i="3" s="1"/>
  <c r="DB54" i="3"/>
  <c r="DC54" i="3" s="1"/>
  <c r="DD54" i="3" s="1"/>
  <c r="DE54" i="3" s="1"/>
  <c r="DF54" i="3" s="1"/>
  <c r="DB46" i="3"/>
  <c r="DC46" i="3" s="1"/>
  <c r="DD46" i="3" s="1"/>
  <c r="DE46" i="3" s="1"/>
  <c r="DF46" i="3" s="1"/>
  <c r="DB38" i="3"/>
  <c r="DC38" i="3" s="1"/>
  <c r="DD38" i="3" s="1"/>
  <c r="DE38" i="3" s="1"/>
  <c r="DF38" i="3" s="1"/>
  <c r="DB30" i="3"/>
  <c r="DC30" i="3" s="1"/>
  <c r="DD30" i="3" s="1"/>
  <c r="DE30" i="3" s="1"/>
  <c r="DF30" i="3" s="1"/>
  <c r="DB22" i="3"/>
  <c r="DC22" i="3" s="1"/>
  <c r="DD22" i="3" s="1"/>
  <c r="DE22" i="3" s="1"/>
  <c r="DF22" i="3" s="1"/>
  <c r="DB14" i="3"/>
  <c r="DC14" i="3" s="1"/>
  <c r="DD14" i="3" s="1"/>
  <c r="DE14" i="3" s="1"/>
  <c r="DF14" i="3" s="1"/>
  <c r="DB68" i="3"/>
  <c r="DC68" i="3" s="1"/>
  <c r="DD68" i="3" s="1"/>
  <c r="DE68" i="3" s="1"/>
  <c r="DF68" i="3" s="1"/>
  <c r="DB44" i="3"/>
  <c r="DB20" i="3"/>
  <c r="DC20" i="3" s="1"/>
  <c r="DD20" i="3" s="1"/>
  <c r="DE20" i="3" s="1"/>
  <c r="DF20" i="3" s="1"/>
  <c r="DB59" i="3"/>
  <c r="DC59" i="3" s="1"/>
  <c r="DD59" i="3" s="1"/>
  <c r="DE59" i="3" s="1"/>
  <c r="DF59" i="3" s="1"/>
  <c r="DB50" i="3"/>
  <c r="DC50" i="3" s="1"/>
  <c r="DD50" i="3" s="1"/>
  <c r="DE50" i="3" s="1"/>
  <c r="DF50" i="3" s="1"/>
  <c r="DB34" i="3"/>
  <c r="DC34" i="3" s="1"/>
  <c r="DD34" i="3" s="1"/>
  <c r="DE34" i="3" s="1"/>
  <c r="DF34" i="3" s="1"/>
  <c r="DB26" i="3"/>
  <c r="DC26" i="3" s="1"/>
  <c r="DD26" i="3" s="1"/>
  <c r="DE26" i="3" s="1"/>
  <c r="DF26" i="3" s="1"/>
  <c r="DB65" i="3"/>
  <c r="DC65" i="3" s="1"/>
  <c r="DD65" i="3" s="1"/>
  <c r="DE65" i="3" s="1"/>
  <c r="DF65" i="3" s="1"/>
  <c r="DB64" i="3"/>
  <c r="DC64" i="3" s="1"/>
  <c r="DD64" i="3" s="1"/>
  <c r="DE64" i="3" s="1"/>
  <c r="DF64" i="3" s="1"/>
  <c r="DB48" i="3"/>
  <c r="DB40" i="3"/>
  <c r="DC40" i="3" s="1"/>
  <c r="DD40" i="3" s="1"/>
  <c r="DE40" i="3" s="1"/>
  <c r="DF40" i="3" s="1"/>
  <c r="DB32" i="3"/>
  <c r="DC32" i="3" s="1"/>
  <c r="DD32" i="3" s="1"/>
  <c r="DE32" i="3" s="1"/>
  <c r="DF32" i="3" s="1"/>
  <c r="DB24" i="3"/>
  <c r="DC24" i="3" s="1"/>
  <c r="DD24" i="3" s="1"/>
  <c r="DE24" i="3" s="1"/>
  <c r="DF24" i="3" s="1"/>
  <c r="DB69" i="3"/>
  <c r="DC69" i="3" s="1"/>
  <c r="DD69" i="3" s="1"/>
  <c r="DE69" i="3" s="1"/>
  <c r="DF69" i="3" s="1"/>
  <c r="DB61" i="3"/>
  <c r="DC61" i="3" s="1"/>
  <c r="DD61" i="3" s="1"/>
  <c r="DE61" i="3" s="1"/>
  <c r="DF61" i="3" s="1"/>
  <c r="DB53" i="3"/>
  <c r="DC53" i="3" s="1"/>
  <c r="DD53" i="3" s="1"/>
  <c r="DE53" i="3" s="1"/>
  <c r="DF53" i="3" s="1"/>
  <c r="DB45" i="3"/>
  <c r="DC45" i="3" s="1"/>
  <c r="DD45" i="3" s="1"/>
  <c r="DE45" i="3" s="1"/>
  <c r="DF45" i="3" s="1"/>
  <c r="DB37" i="3"/>
  <c r="DC37" i="3" s="1"/>
  <c r="DD37" i="3" s="1"/>
  <c r="DE37" i="3" s="1"/>
  <c r="DF37" i="3" s="1"/>
  <c r="DB29" i="3"/>
  <c r="DC29" i="3" s="1"/>
  <c r="DD29" i="3" s="1"/>
  <c r="DE29" i="3" s="1"/>
  <c r="DF29" i="3" s="1"/>
  <c r="DB21" i="3"/>
  <c r="DC21" i="3" s="1"/>
  <c r="DD21" i="3" s="1"/>
  <c r="DE21" i="3" s="1"/>
  <c r="DF21" i="3" s="1"/>
  <c r="DB13" i="3"/>
  <c r="DC13" i="3" s="1"/>
  <c r="DD13" i="3" s="1"/>
  <c r="DE13" i="3" s="1"/>
  <c r="DF13" i="3" s="1"/>
  <c r="CZ72" i="3"/>
  <c r="DA12" i="3" s="1"/>
  <c r="BG65" i="1"/>
  <c r="CA6" i="1"/>
  <c r="CC6" i="1" s="1"/>
  <c r="CA7" i="1"/>
  <c r="CC7" i="1" s="1"/>
  <c r="CA8" i="1"/>
  <c r="CC8" i="1" s="1"/>
  <c r="CA9" i="1"/>
  <c r="CC9" i="1" s="1"/>
  <c r="CA10" i="1"/>
  <c r="CC10" i="1" s="1"/>
  <c r="CA11" i="1"/>
  <c r="CC11" i="1" s="1"/>
  <c r="CA12" i="1"/>
  <c r="CC12" i="1" s="1"/>
  <c r="CA13" i="1"/>
  <c r="CC13" i="1" s="1"/>
  <c r="CA14" i="1"/>
  <c r="CC14" i="1" s="1"/>
  <c r="CA15" i="1"/>
  <c r="CC15" i="1" s="1"/>
  <c r="CA16" i="1"/>
  <c r="CC16" i="1" s="1"/>
  <c r="CC17" i="1"/>
  <c r="CA18" i="1"/>
  <c r="CC18" i="1" s="1"/>
  <c r="CA19" i="1"/>
  <c r="CC19" i="1" s="1"/>
  <c r="CA20" i="1"/>
  <c r="CC20" i="1" s="1"/>
  <c r="CA21" i="1"/>
  <c r="CC21" i="1" s="1"/>
  <c r="CA22" i="1"/>
  <c r="CC22" i="1" s="1"/>
  <c r="CA23" i="1"/>
  <c r="CC23" i="1" s="1"/>
  <c r="CA24" i="1"/>
  <c r="CC24" i="1" s="1"/>
  <c r="CA25" i="1"/>
  <c r="CC25" i="1" s="1"/>
  <c r="CA26" i="1"/>
  <c r="CC26" i="1" s="1"/>
  <c r="CA27" i="1"/>
  <c r="CC27" i="1" s="1"/>
  <c r="CA28" i="1"/>
  <c r="CC28" i="1" s="1"/>
  <c r="CA29" i="1"/>
  <c r="CC29" i="1" s="1"/>
  <c r="CA30" i="1"/>
  <c r="CC30" i="1" s="1"/>
  <c r="CA31" i="1"/>
  <c r="CC31" i="1" s="1"/>
  <c r="CA32" i="1"/>
  <c r="CC32" i="1" s="1"/>
  <c r="CA33" i="1"/>
  <c r="CC33" i="1" s="1"/>
  <c r="CA34" i="1"/>
  <c r="CC34" i="1" s="1"/>
  <c r="CA35" i="1"/>
  <c r="CC35" i="1" s="1"/>
  <c r="CA36" i="1"/>
  <c r="CC36" i="1" s="1"/>
  <c r="CA37" i="1"/>
  <c r="CC37" i="1" s="1"/>
  <c r="CA38" i="1"/>
  <c r="CC38" i="1" s="1"/>
  <c r="CA39" i="1"/>
  <c r="CC39" i="1" s="1"/>
  <c r="CA40" i="1"/>
  <c r="CC40" i="1" s="1"/>
  <c r="CA41" i="1"/>
  <c r="CC41" i="1" s="1"/>
  <c r="CA42" i="1"/>
  <c r="CC42" i="1" s="1"/>
  <c r="CA43" i="1"/>
  <c r="CC43" i="1" s="1"/>
  <c r="CA44" i="1"/>
  <c r="CC44" i="1" s="1"/>
  <c r="CA45" i="1"/>
  <c r="CC45" i="1" s="1"/>
  <c r="CA46" i="1"/>
  <c r="CC46" i="1" s="1"/>
  <c r="CA47" i="1"/>
  <c r="CC47" i="1" s="1"/>
  <c r="CA48" i="1"/>
  <c r="CC48" i="1" s="1"/>
  <c r="CA5" i="1"/>
  <c r="CC5" i="1" s="1"/>
  <c r="BH59" i="1" l="1"/>
  <c r="BH15" i="1"/>
  <c r="CD29" i="1"/>
  <c r="CE29" i="1"/>
  <c r="CF29" i="1" s="1"/>
  <c r="CG29" i="1" s="1"/>
  <c r="CD6" i="1"/>
  <c r="CE6" i="1"/>
  <c r="CF6" i="1" s="1"/>
  <c r="CG6" i="1" s="1"/>
  <c r="CD41" i="1"/>
  <c r="CE41" i="1"/>
  <c r="CF41" i="1" s="1"/>
  <c r="CG41" i="1" s="1"/>
  <c r="CD27" i="1"/>
  <c r="CE27" i="1"/>
  <c r="CF27" i="1" s="1"/>
  <c r="CG27" i="1" s="1"/>
  <c r="CD12" i="1"/>
  <c r="CE12" i="1"/>
  <c r="CF12" i="1" s="1"/>
  <c r="CG12" i="1" s="1"/>
  <c r="CD40" i="1"/>
  <c r="CE40" i="1"/>
  <c r="CF40" i="1" s="1"/>
  <c r="CG40" i="1" s="1"/>
  <c r="CD26" i="1"/>
  <c r="CE26" i="1"/>
  <c r="CF26" i="1" s="1"/>
  <c r="CG26" i="1" s="1"/>
  <c r="CD18" i="1"/>
  <c r="CE18" i="1"/>
  <c r="CF18" i="1" s="1"/>
  <c r="CG18" i="1" s="1"/>
  <c r="CD11" i="1"/>
  <c r="CE11" i="1"/>
  <c r="CF11" i="1" s="1"/>
  <c r="CG11" i="1" s="1"/>
  <c r="CE44" i="1"/>
  <c r="CF44" i="1" s="1"/>
  <c r="CG44" i="1" s="1"/>
  <c r="CD44" i="1"/>
  <c r="CE30" i="1"/>
  <c r="CF30" i="1" s="1"/>
  <c r="CG30" i="1" s="1"/>
  <c r="CD30" i="1"/>
  <c r="CE15" i="1"/>
  <c r="CF15" i="1" s="1"/>
  <c r="CG15" i="1" s="1"/>
  <c r="CD15" i="1"/>
  <c r="CD43" i="1"/>
  <c r="CE43" i="1"/>
  <c r="CF43" i="1" s="1"/>
  <c r="CG43" i="1" s="1"/>
  <c r="CD21" i="1"/>
  <c r="CE21" i="1"/>
  <c r="CF21" i="1" s="1"/>
  <c r="CG21" i="1" s="1"/>
  <c r="CE42" i="1"/>
  <c r="CF42" i="1" s="1"/>
  <c r="CG42" i="1" s="1"/>
  <c r="CD42" i="1"/>
  <c r="CE28" i="1"/>
  <c r="CF28" i="1" s="1"/>
  <c r="CG28" i="1" s="1"/>
  <c r="CD28" i="1"/>
  <c r="CE13" i="1"/>
  <c r="CF13" i="1" s="1"/>
  <c r="CG13" i="1" s="1"/>
  <c r="CD13" i="1"/>
  <c r="CD5" i="1"/>
  <c r="CE5" i="1"/>
  <c r="CF5" i="1" s="1"/>
  <c r="CG5" i="1" s="1"/>
  <c r="CD19" i="1"/>
  <c r="CE19" i="1"/>
  <c r="CF19" i="1" s="1"/>
  <c r="CG19" i="1" s="1"/>
  <c r="CD48" i="1"/>
  <c r="CE48" i="1"/>
  <c r="CF48" i="1" s="1"/>
  <c r="CG48" i="1" s="1"/>
  <c r="CD34" i="1"/>
  <c r="CE34" i="1"/>
  <c r="CF34" i="1" s="1"/>
  <c r="CG34" i="1" s="1"/>
  <c r="CE47" i="1"/>
  <c r="CF47" i="1" s="1"/>
  <c r="CG47" i="1" s="1"/>
  <c r="CD47" i="1"/>
  <c r="CE39" i="1"/>
  <c r="CF39" i="1" s="1"/>
  <c r="CG39" i="1" s="1"/>
  <c r="CD39" i="1"/>
  <c r="CE33" i="1"/>
  <c r="CF33" i="1" s="1"/>
  <c r="CG33" i="1" s="1"/>
  <c r="CD33" i="1"/>
  <c r="CE25" i="1"/>
  <c r="CF25" i="1" s="1"/>
  <c r="CG25" i="1" s="1"/>
  <c r="CD25" i="1"/>
  <c r="CE17" i="1"/>
  <c r="CF17" i="1" s="1"/>
  <c r="CG17" i="1" s="1"/>
  <c r="CD17" i="1"/>
  <c r="CE10" i="1"/>
  <c r="CF10" i="1" s="1"/>
  <c r="CG10" i="1" s="1"/>
  <c r="CD10" i="1"/>
  <c r="CE36" i="1"/>
  <c r="CF36" i="1" s="1"/>
  <c r="CG36" i="1" s="1"/>
  <c r="CD36" i="1"/>
  <c r="CE22" i="1"/>
  <c r="CF22" i="1" s="1"/>
  <c r="CG22" i="1" s="1"/>
  <c r="CD22" i="1"/>
  <c r="CE7" i="1"/>
  <c r="CF7" i="1" s="1"/>
  <c r="CG7" i="1" s="1"/>
  <c r="CD7" i="1"/>
  <c r="CD14" i="1"/>
  <c r="CE14" i="1"/>
  <c r="CF14" i="1" s="1"/>
  <c r="CG14" i="1" s="1"/>
  <c r="CE35" i="1"/>
  <c r="CF35" i="1" s="1"/>
  <c r="CG35" i="1" s="1"/>
  <c r="CD35" i="1"/>
  <c r="CE20" i="1"/>
  <c r="CF20" i="1" s="1"/>
  <c r="CG20" i="1" s="1"/>
  <c r="CD20" i="1"/>
  <c r="CD46" i="1"/>
  <c r="CE46" i="1"/>
  <c r="CF46" i="1" s="1"/>
  <c r="CG46" i="1" s="1"/>
  <c r="CD38" i="1"/>
  <c r="CE38" i="1"/>
  <c r="CF38" i="1" s="1"/>
  <c r="CG38" i="1" s="1"/>
  <c r="CD32" i="1"/>
  <c r="CE32" i="1"/>
  <c r="CF32" i="1" s="1"/>
  <c r="CG32" i="1" s="1"/>
  <c r="CD24" i="1"/>
  <c r="CE24" i="1"/>
  <c r="CF24" i="1" s="1"/>
  <c r="CG24" i="1" s="1"/>
  <c r="CD9" i="1"/>
  <c r="CE9" i="1"/>
  <c r="CF9" i="1" s="1"/>
  <c r="CG9" i="1" s="1"/>
  <c r="CD45" i="1"/>
  <c r="CE45" i="1"/>
  <c r="CF45" i="1" s="1"/>
  <c r="CG45" i="1" s="1"/>
  <c r="CD37" i="1"/>
  <c r="CE37" i="1"/>
  <c r="CF37" i="1" s="1"/>
  <c r="CG37" i="1" s="1"/>
  <c r="CD31" i="1"/>
  <c r="CE31" i="1"/>
  <c r="CF31" i="1" s="1"/>
  <c r="CG31" i="1" s="1"/>
  <c r="CD23" i="1"/>
  <c r="CE23" i="1"/>
  <c r="CF23" i="1" s="1"/>
  <c r="CG23" i="1" s="1"/>
  <c r="CD16" i="1"/>
  <c r="CE16" i="1"/>
  <c r="CF16" i="1" s="1"/>
  <c r="CG16" i="1" s="1"/>
  <c r="CD8" i="1"/>
  <c r="CE8" i="1"/>
  <c r="CF8" i="1" s="1"/>
  <c r="CG8" i="1" s="1"/>
  <c r="BH42" i="1"/>
  <c r="BH60" i="1"/>
  <c r="BH11" i="1"/>
  <c r="BH22" i="1"/>
  <c r="BH32" i="1"/>
  <c r="BH12" i="1"/>
  <c r="BH23" i="1"/>
  <c r="BH33" i="1"/>
  <c r="BH51" i="1"/>
  <c r="BH61" i="1"/>
  <c r="BH24" i="1"/>
  <c r="BH34" i="1"/>
  <c r="BH45" i="1"/>
  <c r="BH52" i="1"/>
  <c r="BH62" i="1"/>
  <c r="BH16" i="1"/>
  <c r="BH25" i="1"/>
  <c r="BH35" i="1"/>
  <c r="BH46" i="1"/>
  <c r="BH53" i="1"/>
  <c r="BH7" i="1"/>
  <c r="BH17" i="1"/>
  <c r="BH26" i="1"/>
  <c r="BH38" i="1"/>
  <c r="BH47" i="1"/>
  <c r="BH54" i="1"/>
  <c r="BH8" i="1"/>
  <c r="BH18" i="1"/>
  <c r="BH27" i="1"/>
  <c r="BH39" i="1"/>
  <c r="BH55" i="1"/>
  <c r="BH9" i="1"/>
  <c r="BH19" i="1"/>
  <c r="BH30" i="1"/>
  <c r="BH40" i="1"/>
  <c r="BH48" i="1"/>
  <c r="BH58" i="1"/>
  <c r="BH10" i="1"/>
  <c r="BH20" i="1"/>
  <c r="BH31" i="1"/>
  <c r="BH41" i="1"/>
  <c r="BH49" i="1"/>
  <c r="BH5" i="1"/>
  <c r="BH13" i="1"/>
  <c r="BH28" i="1"/>
  <c r="BH36" i="1"/>
  <c r="BH43" i="1"/>
  <c r="BH56" i="1"/>
  <c r="BH63" i="1"/>
  <c r="CA49" i="1"/>
  <c r="CB45" i="1" s="1"/>
  <c r="BH6" i="1"/>
  <c r="BH14" i="1"/>
  <c r="BH21" i="1"/>
  <c r="BH29" i="1"/>
  <c r="BH37" i="1"/>
  <c r="BH44" i="1"/>
  <c r="BH50" i="1"/>
  <c r="BH57" i="1"/>
  <c r="BH64" i="1"/>
  <c r="DA66" i="3"/>
  <c r="DA29" i="3"/>
  <c r="DA14" i="3"/>
  <c r="DA20" i="3"/>
  <c r="DA41" i="3"/>
  <c r="DA26" i="3"/>
  <c r="DA61" i="3"/>
  <c r="DA46" i="3"/>
  <c r="DA52" i="3"/>
  <c r="DA40" i="3"/>
  <c r="DA71" i="3"/>
  <c r="DA31" i="3"/>
  <c r="DA63" i="3"/>
  <c r="DA58" i="3"/>
  <c r="DA67" i="3"/>
  <c r="DA54" i="3"/>
  <c r="DA28" i="3"/>
  <c r="DA11" i="3"/>
  <c r="DA69" i="3"/>
  <c r="DA34" i="3"/>
  <c r="DC48" i="3"/>
  <c r="DD48" i="3" s="1"/>
  <c r="DE48" i="3" s="1"/>
  <c r="DF48" i="3" s="1"/>
  <c r="DC44" i="3"/>
  <c r="DD44" i="3" s="1"/>
  <c r="DE44" i="3" s="1"/>
  <c r="DF44" i="3" s="1"/>
  <c r="DA62" i="3"/>
  <c r="DA15" i="3"/>
  <c r="DA36" i="3"/>
  <c r="DA13" i="3"/>
  <c r="DA45" i="3"/>
  <c r="DA24" i="3"/>
  <c r="DA64" i="3"/>
  <c r="DA50" i="3"/>
  <c r="DA68" i="3"/>
  <c r="DA18" i="3"/>
  <c r="DA51" i="3"/>
  <c r="DA16" i="3"/>
  <c r="DA17" i="3"/>
  <c r="DA33" i="3"/>
  <c r="DA38" i="3"/>
  <c r="DA70" i="3"/>
  <c r="DB4" i="3"/>
  <c r="DA23" i="3"/>
  <c r="DA55" i="3"/>
  <c r="DA49" i="3"/>
  <c r="DA43" i="3"/>
  <c r="DA60" i="3"/>
  <c r="DA22" i="3"/>
  <c r="DC66" i="3"/>
  <c r="DD66" i="3" s="1"/>
  <c r="DE66" i="3" s="1"/>
  <c r="DF66" i="3" s="1"/>
  <c r="DA39" i="3"/>
  <c r="DA19" i="3"/>
  <c r="DA37" i="3"/>
  <c r="DA48" i="3"/>
  <c r="DA44" i="3"/>
  <c r="DA57" i="3"/>
  <c r="DA27" i="3"/>
  <c r="DB7" i="3"/>
  <c r="DC7" i="3" s="1"/>
  <c r="DD7" i="3" s="1"/>
  <c r="DE7" i="3" s="1"/>
  <c r="DF7" i="3" s="1"/>
  <c r="DB5" i="3"/>
  <c r="DC5" i="3" s="1"/>
  <c r="DD5" i="3" s="1"/>
  <c r="DE5" i="3" s="1"/>
  <c r="DF5" i="3" s="1"/>
  <c r="DA30" i="3"/>
  <c r="DA56" i="3"/>
  <c r="DA47" i="3"/>
  <c r="DA35" i="3"/>
  <c r="DA21" i="3"/>
  <c r="DA53" i="3"/>
  <c r="DA32" i="3"/>
  <c r="DA65" i="3"/>
  <c r="DA59" i="3"/>
  <c r="DB6" i="3"/>
  <c r="DC6" i="3" s="1"/>
  <c r="DD6" i="3" s="1"/>
  <c r="DE6" i="3" s="1"/>
  <c r="DF6" i="3" s="1"/>
  <c r="DA25" i="3"/>
  <c r="DA42" i="3"/>
  <c r="DA9" i="3"/>
  <c r="DA10" i="3"/>
  <c r="DA4" i="3"/>
  <c r="DA8" i="3"/>
  <c r="DA7" i="3"/>
  <c r="DA6" i="3"/>
  <c r="DA5" i="3"/>
  <c r="CJ5" i="3"/>
  <c r="CL5" i="3" s="1"/>
  <c r="CJ6" i="3"/>
  <c r="CL6" i="3" s="1"/>
  <c r="CJ7" i="3"/>
  <c r="CL7" i="3" s="1"/>
  <c r="CJ8" i="3"/>
  <c r="CL8" i="3" s="1"/>
  <c r="CJ9" i="3"/>
  <c r="CL9" i="3" s="1"/>
  <c r="CJ10" i="3"/>
  <c r="CL10" i="3" s="1"/>
  <c r="CJ11" i="3"/>
  <c r="CL11" i="3" s="1"/>
  <c r="CJ12" i="3"/>
  <c r="CL12" i="3" s="1"/>
  <c r="CJ13" i="3"/>
  <c r="CL13" i="3" s="1"/>
  <c r="CJ14" i="3"/>
  <c r="CL14" i="3" s="1"/>
  <c r="CJ15" i="3"/>
  <c r="CL15" i="3" s="1"/>
  <c r="CJ16" i="3"/>
  <c r="CL16" i="3" s="1"/>
  <c r="CJ17" i="3"/>
  <c r="CL17" i="3" s="1"/>
  <c r="CJ18" i="3"/>
  <c r="CL18" i="3" s="1"/>
  <c r="CJ19" i="3"/>
  <c r="CL19" i="3" s="1"/>
  <c r="CJ20" i="3"/>
  <c r="CL20" i="3" s="1"/>
  <c r="CJ21" i="3"/>
  <c r="CL21" i="3" s="1"/>
  <c r="CJ22" i="3"/>
  <c r="CL22" i="3" s="1"/>
  <c r="CJ23" i="3"/>
  <c r="CL23" i="3" s="1"/>
  <c r="CJ24" i="3"/>
  <c r="CL24" i="3" s="1"/>
  <c r="CJ25" i="3"/>
  <c r="CL25" i="3" s="1"/>
  <c r="CJ26" i="3"/>
  <c r="CL26" i="3" s="1"/>
  <c r="CJ27" i="3"/>
  <c r="CL27" i="3" s="1"/>
  <c r="CJ28" i="3"/>
  <c r="CL28" i="3" s="1"/>
  <c r="CJ29" i="3"/>
  <c r="CL29" i="3" s="1"/>
  <c r="CJ30" i="3"/>
  <c r="CL30" i="3" s="1"/>
  <c r="CJ31" i="3"/>
  <c r="CL31" i="3" s="1"/>
  <c r="CJ32" i="3"/>
  <c r="CL32" i="3" s="1"/>
  <c r="CJ33" i="3"/>
  <c r="CL33" i="3" s="1"/>
  <c r="CJ34" i="3"/>
  <c r="CL34" i="3" s="1"/>
  <c r="CJ35" i="3"/>
  <c r="CL35" i="3" s="1"/>
  <c r="CJ36" i="3"/>
  <c r="CL36" i="3" s="1"/>
  <c r="CJ37" i="3"/>
  <c r="CL37" i="3" s="1"/>
  <c r="CJ38" i="3"/>
  <c r="CL38" i="3" s="1"/>
  <c r="CJ39" i="3"/>
  <c r="CL39" i="3" s="1"/>
  <c r="CJ40" i="3"/>
  <c r="CL40" i="3" s="1"/>
  <c r="CJ41" i="3"/>
  <c r="CL41" i="3" s="1"/>
  <c r="CJ42" i="3"/>
  <c r="CL42" i="3" s="1"/>
  <c r="CJ43" i="3"/>
  <c r="CL43" i="3" s="1"/>
  <c r="CJ44" i="3"/>
  <c r="CL44" i="3" s="1"/>
  <c r="CJ45" i="3"/>
  <c r="CL45" i="3" s="1"/>
  <c r="CJ46" i="3"/>
  <c r="CL46" i="3" s="1"/>
  <c r="CJ47" i="3"/>
  <c r="CL47" i="3" s="1"/>
  <c r="CJ48" i="3"/>
  <c r="CL48" i="3" s="1"/>
  <c r="CJ49" i="3"/>
  <c r="CL49" i="3" s="1"/>
  <c r="CJ50" i="3"/>
  <c r="CL50" i="3" s="1"/>
  <c r="CJ51" i="3"/>
  <c r="CL51" i="3" s="1"/>
  <c r="CJ52" i="3"/>
  <c r="CL52" i="3" s="1"/>
  <c r="CJ53" i="3"/>
  <c r="CL53" i="3" s="1"/>
  <c r="CJ54" i="3"/>
  <c r="CL54" i="3" s="1"/>
  <c r="CJ55" i="3"/>
  <c r="CL55" i="3" s="1"/>
  <c r="CJ4" i="3"/>
  <c r="CL4" i="3" s="1"/>
  <c r="CG50" i="1" l="1"/>
  <c r="CG49" i="1"/>
  <c r="CF50" i="1"/>
  <c r="CF49" i="1"/>
  <c r="CB43" i="1"/>
  <c r="CB17" i="1"/>
  <c r="CB22" i="1"/>
  <c r="CB19" i="1"/>
  <c r="CB44" i="1"/>
  <c r="CB13" i="1"/>
  <c r="CB8" i="1"/>
  <c r="CB35" i="1"/>
  <c r="CB37" i="1"/>
  <c r="CB42" i="1"/>
  <c r="CB47" i="1"/>
  <c r="CB21" i="1"/>
  <c r="CB27" i="1"/>
  <c r="CB33" i="1"/>
  <c r="CB39" i="1"/>
  <c r="CB16" i="1"/>
  <c r="CB6" i="1"/>
  <c r="CB7" i="1"/>
  <c r="CB23" i="1"/>
  <c r="CB41" i="1"/>
  <c r="CB14" i="1"/>
  <c r="CB15" i="1"/>
  <c r="CB31" i="1"/>
  <c r="CB20" i="1"/>
  <c r="CB29" i="1"/>
  <c r="CB30" i="1"/>
  <c r="CB46" i="1"/>
  <c r="CB5" i="1"/>
  <c r="CB38" i="1"/>
  <c r="CB9" i="1"/>
  <c r="CB40" i="1"/>
  <c r="CB34" i="1"/>
  <c r="CB18" i="1"/>
  <c r="CB24" i="1"/>
  <c r="CB48" i="1"/>
  <c r="CB26" i="1"/>
  <c r="CB12" i="1"/>
  <c r="CB11" i="1"/>
  <c r="CB32" i="1"/>
  <c r="CB10" i="1"/>
  <c r="CB28" i="1"/>
  <c r="CB36" i="1"/>
  <c r="CB25" i="1"/>
  <c r="CN34" i="3"/>
  <c r="CO34" i="3" s="1"/>
  <c r="CP34" i="3" s="1"/>
  <c r="CM34" i="3"/>
  <c r="CM26" i="3"/>
  <c r="CN26" i="3"/>
  <c r="CO26" i="3" s="1"/>
  <c r="CP26" i="3" s="1"/>
  <c r="CM18" i="3"/>
  <c r="CN18" i="3"/>
  <c r="CO18" i="3" s="1"/>
  <c r="CP18" i="3" s="1"/>
  <c r="CN10" i="3"/>
  <c r="CO10" i="3" s="1"/>
  <c r="CP10" i="3" s="1"/>
  <c r="CM10" i="3"/>
  <c r="CM42" i="3"/>
  <c r="CN42" i="3"/>
  <c r="CO42" i="3" s="1"/>
  <c r="CP42" i="3" s="1"/>
  <c r="CM9" i="3"/>
  <c r="CN9" i="3"/>
  <c r="CO9" i="3" s="1"/>
  <c r="CP9" i="3" s="1"/>
  <c r="CM41" i="3"/>
  <c r="CN41" i="3"/>
  <c r="CO41" i="3" s="1"/>
  <c r="CP41" i="3" s="1"/>
  <c r="CM17" i="3"/>
  <c r="CN17" i="3"/>
  <c r="CO17" i="3" s="1"/>
  <c r="CP17" i="3" s="1"/>
  <c r="CN32" i="3"/>
  <c r="CO32" i="3" s="1"/>
  <c r="CP32" i="3" s="1"/>
  <c r="CM32" i="3"/>
  <c r="CM47" i="3"/>
  <c r="CN47" i="3"/>
  <c r="CO47" i="3" s="1"/>
  <c r="CP47" i="3" s="1"/>
  <c r="CM23" i="3"/>
  <c r="CN23" i="3"/>
  <c r="CO23" i="3" s="1"/>
  <c r="CP23" i="3" s="1"/>
  <c r="CN30" i="3"/>
  <c r="CO30" i="3" s="1"/>
  <c r="CP30" i="3" s="1"/>
  <c r="CM30" i="3"/>
  <c r="CN53" i="3"/>
  <c r="CO53" i="3" s="1"/>
  <c r="CP53" i="3" s="1"/>
  <c r="CM53" i="3"/>
  <c r="CN45" i="3"/>
  <c r="CO45" i="3" s="1"/>
  <c r="CP45" i="3" s="1"/>
  <c r="CM45" i="3"/>
  <c r="CN37" i="3"/>
  <c r="CO37" i="3" s="1"/>
  <c r="CP37" i="3" s="1"/>
  <c r="CM37" i="3"/>
  <c r="CN29" i="3"/>
  <c r="CO29" i="3" s="1"/>
  <c r="CP29" i="3" s="1"/>
  <c r="CM29" i="3"/>
  <c r="CN21" i="3"/>
  <c r="CO21" i="3" s="1"/>
  <c r="CP21" i="3" s="1"/>
  <c r="CM21" i="3"/>
  <c r="CN13" i="3"/>
  <c r="CO13" i="3" s="1"/>
  <c r="CP13" i="3" s="1"/>
  <c r="CM13" i="3"/>
  <c r="CN5" i="3"/>
  <c r="CO5" i="3" s="1"/>
  <c r="CP5" i="3" s="1"/>
  <c r="CM5" i="3"/>
  <c r="CN50" i="3"/>
  <c r="CO50" i="3" s="1"/>
  <c r="CP50" i="3" s="1"/>
  <c r="CM50" i="3"/>
  <c r="CM33" i="3"/>
  <c r="CN33" i="3"/>
  <c r="CO33" i="3" s="1"/>
  <c r="CP33" i="3" s="1"/>
  <c r="CN4" i="3"/>
  <c r="CO4" i="3" s="1"/>
  <c r="CP4" i="3" s="1"/>
  <c r="CM4" i="3"/>
  <c r="CM40" i="3"/>
  <c r="CN40" i="3"/>
  <c r="CO40" i="3" s="1"/>
  <c r="CP40" i="3" s="1"/>
  <c r="CM16" i="3"/>
  <c r="CN16" i="3"/>
  <c r="CO16" i="3" s="1"/>
  <c r="CP16" i="3" s="1"/>
  <c r="DC4" i="3"/>
  <c r="DD4" i="3" s="1"/>
  <c r="DE4" i="3" s="1"/>
  <c r="DF4" i="3" s="1"/>
  <c r="CM39" i="3"/>
  <c r="CN39" i="3"/>
  <c r="CO39" i="3" s="1"/>
  <c r="CP39" i="3" s="1"/>
  <c r="CM15" i="3"/>
  <c r="CN15" i="3"/>
  <c r="CO15" i="3" s="1"/>
  <c r="CP15" i="3" s="1"/>
  <c r="CN54" i="3"/>
  <c r="CO54" i="3" s="1"/>
  <c r="CP54" i="3" s="1"/>
  <c r="CM54" i="3"/>
  <c r="CN38" i="3"/>
  <c r="CO38" i="3" s="1"/>
  <c r="CP38" i="3" s="1"/>
  <c r="CM38" i="3"/>
  <c r="CN14" i="3"/>
  <c r="CO14" i="3" s="1"/>
  <c r="CP14" i="3" s="1"/>
  <c r="CM14" i="3"/>
  <c r="CM52" i="3"/>
  <c r="CN52" i="3"/>
  <c r="CO52" i="3" s="1"/>
  <c r="CP52" i="3" s="1"/>
  <c r="CM44" i="3"/>
  <c r="CN44" i="3"/>
  <c r="CO44" i="3" s="1"/>
  <c r="CP44" i="3" s="1"/>
  <c r="CM36" i="3"/>
  <c r="CN36" i="3"/>
  <c r="CO36" i="3" s="1"/>
  <c r="CP36" i="3" s="1"/>
  <c r="CM28" i="3"/>
  <c r="CN28" i="3"/>
  <c r="CO28" i="3" s="1"/>
  <c r="CP28" i="3" s="1"/>
  <c r="CM20" i="3"/>
  <c r="CN20" i="3"/>
  <c r="CO20" i="3" s="1"/>
  <c r="CP20" i="3" s="1"/>
  <c r="CN12" i="3"/>
  <c r="CO12" i="3" s="1"/>
  <c r="CP12" i="3" s="1"/>
  <c r="CM12" i="3"/>
  <c r="CM49" i="3"/>
  <c r="CN49" i="3"/>
  <c r="CO49" i="3" s="1"/>
  <c r="CP49" i="3" s="1"/>
  <c r="CM25" i="3"/>
  <c r="CN25" i="3"/>
  <c r="CO25" i="3" s="1"/>
  <c r="CP25" i="3" s="1"/>
  <c r="CN48" i="3"/>
  <c r="CO48" i="3" s="1"/>
  <c r="CP48" i="3" s="1"/>
  <c r="CM48" i="3"/>
  <c r="CN24" i="3"/>
  <c r="CO24" i="3" s="1"/>
  <c r="CP24" i="3" s="1"/>
  <c r="CM24" i="3"/>
  <c r="CN8" i="3"/>
  <c r="CO8" i="3" s="1"/>
  <c r="CP8" i="3" s="1"/>
  <c r="CM8" i="3"/>
  <c r="CN55" i="3"/>
  <c r="CO55" i="3" s="1"/>
  <c r="CP55" i="3" s="1"/>
  <c r="CM55" i="3"/>
  <c r="CM31" i="3"/>
  <c r="CN31" i="3"/>
  <c r="CO31" i="3" s="1"/>
  <c r="CP31" i="3" s="1"/>
  <c r="CM7" i="3"/>
  <c r="CN7" i="3"/>
  <c r="CO7" i="3" s="1"/>
  <c r="CP7" i="3" s="1"/>
  <c r="CN46" i="3"/>
  <c r="CO46" i="3" s="1"/>
  <c r="CP46" i="3" s="1"/>
  <c r="CM46" i="3"/>
  <c r="CM22" i="3"/>
  <c r="CN22" i="3"/>
  <c r="CO22" i="3" s="1"/>
  <c r="CP22" i="3" s="1"/>
  <c r="CN6" i="3"/>
  <c r="CO6" i="3" s="1"/>
  <c r="CP6" i="3" s="1"/>
  <c r="CM6" i="3"/>
  <c r="CN51" i="3"/>
  <c r="CO51" i="3" s="1"/>
  <c r="CP51" i="3" s="1"/>
  <c r="CM51" i="3"/>
  <c r="CN43" i="3"/>
  <c r="CO43" i="3" s="1"/>
  <c r="CP43" i="3" s="1"/>
  <c r="CM43" i="3"/>
  <c r="CN35" i="3"/>
  <c r="CO35" i="3" s="1"/>
  <c r="CP35" i="3" s="1"/>
  <c r="CM35" i="3"/>
  <c r="CN27" i="3"/>
  <c r="CO27" i="3" s="1"/>
  <c r="CP27" i="3" s="1"/>
  <c r="CM27" i="3"/>
  <c r="CN19" i="3"/>
  <c r="CO19" i="3" s="1"/>
  <c r="CP19" i="3" s="1"/>
  <c r="CM19" i="3"/>
  <c r="CN11" i="3"/>
  <c r="CO11" i="3" s="1"/>
  <c r="CP11" i="3" s="1"/>
  <c r="CM11" i="3"/>
  <c r="CJ56" i="3"/>
  <c r="BU5" i="3"/>
  <c r="BW5" i="3" s="1"/>
  <c r="BU6" i="3"/>
  <c r="BW6" i="3" s="1"/>
  <c r="BU7" i="3"/>
  <c r="BW7" i="3" s="1"/>
  <c r="BU8" i="3"/>
  <c r="BW8" i="3" s="1"/>
  <c r="BU9" i="3"/>
  <c r="BW9" i="3" s="1"/>
  <c r="BU10" i="3"/>
  <c r="BW10" i="3" s="1"/>
  <c r="BU11" i="3"/>
  <c r="BW11" i="3" s="1"/>
  <c r="BU12" i="3"/>
  <c r="BW12" i="3" s="1"/>
  <c r="BU13" i="3"/>
  <c r="BW13" i="3" s="1"/>
  <c r="BU14" i="3"/>
  <c r="BW14" i="3" s="1"/>
  <c r="BU15" i="3"/>
  <c r="BW15" i="3" s="1"/>
  <c r="BU16" i="3"/>
  <c r="BW16" i="3" s="1"/>
  <c r="BU17" i="3"/>
  <c r="BW17" i="3" s="1"/>
  <c r="BU18" i="3"/>
  <c r="BW18" i="3" s="1"/>
  <c r="BU19" i="3"/>
  <c r="BW19" i="3" s="1"/>
  <c r="BU20" i="3"/>
  <c r="BW20" i="3" s="1"/>
  <c r="BU21" i="3"/>
  <c r="BW21" i="3" s="1"/>
  <c r="BU22" i="3"/>
  <c r="BW22" i="3" s="1"/>
  <c r="BU23" i="3"/>
  <c r="BW23" i="3" s="1"/>
  <c r="BU24" i="3"/>
  <c r="BW24" i="3" s="1"/>
  <c r="BU25" i="3"/>
  <c r="BW25" i="3" s="1"/>
  <c r="BU26" i="3"/>
  <c r="BW26" i="3" s="1"/>
  <c r="BU27" i="3"/>
  <c r="BW27" i="3" s="1"/>
  <c r="BU28" i="3"/>
  <c r="BW28" i="3" s="1"/>
  <c r="BU29" i="3"/>
  <c r="BW29" i="3" s="1"/>
  <c r="BU30" i="3"/>
  <c r="BW30" i="3" s="1"/>
  <c r="BU31" i="3"/>
  <c r="BW31" i="3" s="1"/>
  <c r="BU32" i="3"/>
  <c r="BW32" i="3" s="1"/>
  <c r="BU33" i="3"/>
  <c r="BW33" i="3" s="1"/>
  <c r="BU34" i="3"/>
  <c r="BW34" i="3" s="1"/>
  <c r="BU35" i="3"/>
  <c r="BW35" i="3" s="1"/>
  <c r="BU36" i="3"/>
  <c r="BW36" i="3" s="1"/>
  <c r="BU37" i="3"/>
  <c r="BW37" i="3" s="1"/>
  <c r="BU38" i="3"/>
  <c r="BW38" i="3" s="1"/>
  <c r="BU39" i="3"/>
  <c r="BW39" i="3" s="1"/>
  <c r="BU40" i="3"/>
  <c r="BW40" i="3" s="1"/>
  <c r="BU41" i="3"/>
  <c r="BW41" i="3" s="1"/>
  <c r="BU42" i="3"/>
  <c r="BW42" i="3" s="1"/>
  <c r="BU43" i="3"/>
  <c r="BW43" i="3" s="1"/>
  <c r="BU44" i="3"/>
  <c r="BW44" i="3" s="1"/>
  <c r="BU45" i="3"/>
  <c r="BW45" i="3" s="1"/>
  <c r="BU46" i="3"/>
  <c r="BW46" i="3" s="1"/>
  <c r="BU47" i="3"/>
  <c r="BW47" i="3" s="1"/>
  <c r="BU48" i="3"/>
  <c r="BW48" i="3" s="1"/>
  <c r="BU49" i="3"/>
  <c r="BW49" i="3" s="1"/>
  <c r="BU50" i="3"/>
  <c r="BW50" i="3" s="1"/>
  <c r="BU51" i="3"/>
  <c r="BW51" i="3" s="1"/>
  <c r="BU52" i="3"/>
  <c r="BW52" i="3" s="1"/>
  <c r="BU53" i="3"/>
  <c r="BW53" i="3" s="1"/>
  <c r="BU54" i="3"/>
  <c r="BW54" i="3" s="1"/>
  <c r="BU55" i="3"/>
  <c r="BW55" i="3" s="1"/>
  <c r="BU56" i="3"/>
  <c r="BW56" i="3" s="1"/>
  <c r="BU57" i="3"/>
  <c r="BW57" i="3" s="1"/>
  <c r="BU58" i="3"/>
  <c r="BW58" i="3" s="1"/>
  <c r="BU59" i="3"/>
  <c r="BW59" i="3" s="1"/>
  <c r="BU60" i="3"/>
  <c r="BW60" i="3" s="1"/>
  <c r="BU61" i="3"/>
  <c r="BW61" i="3" s="1"/>
  <c r="BU62" i="3"/>
  <c r="BW62" i="3" s="1"/>
  <c r="BU63" i="3"/>
  <c r="BW63" i="3" s="1"/>
  <c r="BU64" i="3"/>
  <c r="BW64" i="3" s="1"/>
  <c r="BU65" i="3"/>
  <c r="BW65" i="3" s="1"/>
  <c r="BU4" i="3"/>
  <c r="BW4" i="3" s="1"/>
  <c r="DF72" i="3" l="1"/>
  <c r="DF73" i="3"/>
  <c r="CP57" i="3"/>
  <c r="CP56" i="3"/>
  <c r="CO57" i="3"/>
  <c r="DE72" i="3"/>
  <c r="DE73" i="3"/>
  <c r="BY45" i="3"/>
  <c r="BZ45" i="3" s="1"/>
  <c r="CA45" i="3" s="1"/>
  <c r="BX45" i="3"/>
  <c r="CO56" i="3"/>
  <c r="BX29" i="3"/>
  <c r="BY29" i="3"/>
  <c r="BZ29" i="3" s="1"/>
  <c r="CA29" i="3" s="1"/>
  <c r="BX28" i="3"/>
  <c r="BY28" i="3"/>
  <c r="BZ28" i="3" s="1"/>
  <c r="CA28" i="3" s="1"/>
  <c r="BY37" i="3"/>
  <c r="BZ37" i="3" s="1"/>
  <c r="CA37" i="3" s="1"/>
  <c r="BX37" i="3"/>
  <c r="BX12" i="3"/>
  <c r="BY12" i="3"/>
  <c r="BZ12" i="3" s="1"/>
  <c r="CA12" i="3" s="1"/>
  <c r="BX53" i="3"/>
  <c r="BY53" i="3"/>
  <c r="BZ53" i="3" s="1"/>
  <c r="CA53" i="3" s="1"/>
  <c r="BX52" i="3"/>
  <c r="BY52" i="3"/>
  <c r="BZ52" i="3" s="1"/>
  <c r="CA52" i="3" s="1"/>
  <c r="BY61" i="3"/>
  <c r="BZ61" i="3" s="1"/>
  <c r="CA61" i="3" s="1"/>
  <c r="BX61" i="3"/>
  <c r="BY5" i="3"/>
  <c r="BZ5" i="3" s="1"/>
  <c r="CA5" i="3" s="1"/>
  <c r="BX5" i="3"/>
  <c r="BX44" i="3"/>
  <c r="BY44" i="3"/>
  <c r="BZ44" i="3" s="1"/>
  <c r="CA44" i="3" s="1"/>
  <c r="BX20" i="3"/>
  <c r="BY20" i="3"/>
  <c r="BZ20" i="3" s="1"/>
  <c r="CA20" i="3" s="1"/>
  <c r="BY51" i="3"/>
  <c r="BZ51" i="3" s="1"/>
  <c r="CA51" i="3" s="1"/>
  <c r="BX51" i="3"/>
  <c r="BY27" i="3"/>
  <c r="BZ27" i="3" s="1"/>
  <c r="CA27" i="3" s="1"/>
  <c r="BX27" i="3"/>
  <c r="BY11" i="3"/>
  <c r="BZ11" i="3" s="1"/>
  <c r="CA11" i="3" s="1"/>
  <c r="BX11" i="3"/>
  <c r="BX58" i="3"/>
  <c r="BY58" i="3"/>
  <c r="BZ58" i="3" s="1"/>
  <c r="CA58" i="3" s="1"/>
  <c r="BX42" i="3"/>
  <c r="BY42" i="3"/>
  <c r="BZ42" i="3" s="1"/>
  <c r="CA42" i="3" s="1"/>
  <c r="BX18" i="3"/>
  <c r="BY18" i="3"/>
  <c r="BZ18" i="3" s="1"/>
  <c r="CA18" i="3" s="1"/>
  <c r="BY57" i="3"/>
  <c r="BZ57" i="3" s="1"/>
  <c r="CA57" i="3" s="1"/>
  <c r="BX57" i="3"/>
  <c r="BY33" i="3"/>
  <c r="BZ33" i="3" s="1"/>
  <c r="CA33" i="3" s="1"/>
  <c r="BX33" i="3"/>
  <c r="BY17" i="3"/>
  <c r="BZ17" i="3" s="1"/>
  <c r="CA17" i="3" s="1"/>
  <c r="BX17" i="3"/>
  <c r="BX64" i="3"/>
  <c r="BY64" i="3"/>
  <c r="BZ64" i="3" s="1"/>
  <c r="CA64" i="3" s="1"/>
  <c r="BX48" i="3"/>
  <c r="BY48" i="3"/>
  <c r="BZ48" i="3" s="1"/>
  <c r="CA48" i="3" s="1"/>
  <c r="BX40" i="3"/>
  <c r="BY40" i="3"/>
  <c r="BZ40" i="3" s="1"/>
  <c r="CA40" i="3" s="1"/>
  <c r="BX32" i="3"/>
  <c r="BY32" i="3"/>
  <c r="BZ32" i="3" s="1"/>
  <c r="CA32" i="3" s="1"/>
  <c r="BX24" i="3"/>
  <c r="BY24" i="3"/>
  <c r="BZ24" i="3" s="1"/>
  <c r="CA24" i="3" s="1"/>
  <c r="BX16" i="3"/>
  <c r="BY16" i="3"/>
  <c r="BZ16" i="3" s="1"/>
  <c r="CA16" i="3" s="1"/>
  <c r="BX8" i="3"/>
  <c r="BY8" i="3"/>
  <c r="BZ8" i="3" s="1"/>
  <c r="CA8" i="3" s="1"/>
  <c r="BX13" i="3"/>
  <c r="BY13" i="3"/>
  <c r="BZ13" i="3" s="1"/>
  <c r="CA13" i="3" s="1"/>
  <c r="BY35" i="3"/>
  <c r="BZ35" i="3" s="1"/>
  <c r="CA35" i="3" s="1"/>
  <c r="BX35" i="3"/>
  <c r="BY4" i="3"/>
  <c r="BZ4" i="3" s="1"/>
  <c r="CA4" i="3" s="1"/>
  <c r="BX4" i="3"/>
  <c r="BX26" i="3"/>
  <c r="BY26" i="3"/>
  <c r="BZ26" i="3" s="1"/>
  <c r="CA26" i="3" s="1"/>
  <c r="BY49" i="3"/>
  <c r="BZ49" i="3" s="1"/>
  <c r="CA49" i="3" s="1"/>
  <c r="BX49" i="3"/>
  <c r="BX56" i="3"/>
  <c r="BY56" i="3"/>
  <c r="BZ56" i="3" s="1"/>
  <c r="CA56" i="3" s="1"/>
  <c r="BY63" i="3"/>
  <c r="BZ63" i="3" s="1"/>
  <c r="CA63" i="3" s="1"/>
  <c r="BX63" i="3"/>
  <c r="BY55" i="3"/>
  <c r="BZ55" i="3" s="1"/>
  <c r="CA55" i="3" s="1"/>
  <c r="BX55" i="3"/>
  <c r="BY47" i="3"/>
  <c r="BZ47" i="3" s="1"/>
  <c r="CA47" i="3" s="1"/>
  <c r="BX47" i="3"/>
  <c r="BY39" i="3"/>
  <c r="BZ39" i="3" s="1"/>
  <c r="CA39" i="3" s="1"/>
  <c r="BX39" i="3"/>
  <c r="BY31" i="3"/>
  <c r="BZ31" i="3" s="1"/>
  <c r="CA31" i="3" s="1"/>
  <c r="BX31" i="3"/>
  <c r="BY23" i="3"/>
  <c r="BZ23" i="3" s="1"/>
  <c r="CA23" i="3" s="1"/>
  <c r="BX23" i="3"/>
  <c r="BY15" i="3"/>
  <c r="BZ15" i="3" s="1"/>
  <c r="CA15" i="3" s="1"/>
  <c r="BX15" i="3"/>
  <c r="BY7" i="3"/>
  <c r="BZ7" i="3" s="1"/>
  <c r="CA7" i="3" s="1"/>
  <c r="BX7" i="3"/>
  <c r="BY21" i="3"/>
  <c r="BZ21" i="3" s="1"/>
  <c r="CA21" i="3" s="1"/>
  <c r="BX21" i="3"/>
  <c r="BX60" i="3"/>
  <c r="BY60" i="3"/>
  <c r="BZ60" i="3" s="1"/>
  <c r="CA60" i="3" s="1"/>
  <c r="BX36" i="3"/>
  <c r="BY36" i="3"/>
  <c r="BZ36" i="3" s="1"/>
  <c r="CA36" i="3" s="1"/>
  <c r="BY59" i="3"/>
  <c r="BZ59" i="3" s="1"/>
  <c r="CA59" i="3" s="1"/>
  <c r="BX59" i="3"/>
  <c r="BY43" i="3"/>
  <c r="BZ43" i="3" s="1"/>
  <c r="CA43" i="3" s="1"/>
  <c r="BX43" i="3"/>
  <c r="BY19" i="3"/>
  <c r="BZ19" i="3" s="1"/>
  <c r="CA19" i="3" s="1"/>
  <c r="BX19" i="3"/>
  <c r="BX50" i="3"/>
  <c r="BY50" i="3"/>
  <c r="BZ50" i="3" s="1"/>
  <c r="CA50" i="3" s="1"/>
  <c r="BX34" i="3"/>
  <c r="BY34" i="3"/>
  <c r="BZ34" i="3" s="1"/>
  <c r="CA34" i="3" s="1"/>
  <c r="BX10" i="3"/>
  <c r="BY10" i="3"/>
  <c r="BZ10" i="3" s="1"/>
  <c r="CA10" i="3" s="1"/>
  <c r="BY65" i="3"/>
  <c r="BZ65" i="3" s="1"/>
  <c r="CA65" i="3" s="1"/>
  <c r="BX65" i="3"/>
  <c r="BY41" i="3"/>
  <c r="BZ41" i="3" s="1"/>
  <c r="CA41" i="3" s="1"/>
  <c r="BX41" i="3"/>
  <c r="BY25" i="3"/>
  <c r="BZ25" i="3" s="1"/>
  <c r="CA25" i="3" s="1"/>
  <c r="BX25" i="3"/>
  <c r="BY9" i="3"/>
  <c r="BZ9" i="3" s="1"/>
  <c r="CA9" i="3" s="1"/>
  <c r="BX9" i="3"/>
  <c r="BY62" i="3"/>
  <c r="BZ62" i="3" s="1"/>
  <c r="CA62" i="3" s="1"/>
  <c r="BX62" i="3"/>
  <c r="BX54" i="3"/>
  <c r="BY54" i="3"/>
  <c r="BZ54" i="3" s="1"/>
  <c r="CA54" i="3" s="1"/>
  <c r="BX46" i="3"/>
  <c r="BY46" i="3"/>
  <c r="BZ46" i="3" s="1"/>
  <c r="CA46" i="3" s="1"/>
  <c r="BX38" i="3"/>
  <c r="BY38" i="3"/>
  <c r="BZ38" i="3" s="1"/>
  <c r="CA38" i="3" s="1"/>
  <c r="BY30" i="3"/>
  <c r="BZ30" i="3" s="1"/>
  <c r="CA30" i="3" s="1"/>
  <c r="BX30" i="3"/>
  <c r="BY22" i="3"/>
  <c r="BZ22" i="3" s="1"/>
  <c r="CA22" i="3" s="1"/>
  <c r="BX22" i="3"/>
  <c r="BX14" i="3"/>
  <c r="BY14" i="3"/>
  <c r="BZ14" i="3" s="1"/>
  <c r="CA14" i="3" s="1"/>
  <c r="BY6" i="3"/>
  <c r="BZ6" i="3" s="1"/>
  <c r="CA6" i="3" s="1"/>
  <c r="BX6" i="3"/>
  <c r="CK12" i="3"/>
  <c r="CK48" i="3"/>
  <c r="CK37" i="3"/>
  <c r="CK40" i="3"/>
  <c r="CK45" i="3"/>
  <c r="CK36" i="3"/>
  <c r="CK53" i="3"/>
  <c r="CK41" i="3"/>
  <c r="CK52" i="3"/>
  <c r="CK55" i="3"/>
  <c r="CK49" i="3"/>
  <c r="CK39" i="3"/>
  <c r="CK46" i="3"/>
  <c r="CK50" i="3"/>
  <c r="CK47" i="3"/>
  <c r="CK43" i="3"/>
  <c r="CK32" i="3"/>
  <c r="CK51" i="3"/>
  <c r="CK33" i="3"/>
  <c r="CK54" i="3"/>
  <c r="CK34" i="3"/>
  <c r="CK35" i="3"/>
  <c r="CK38" i="3"/>
  <c r="CK42" i="3"/>
  <c r="CK44" i="3"/>
  <c r="CK6" i="3"/>
  <c r="CK31" i="3"/>
  <c r="CK14" i="3"/>
  <c r="CK22" i="3"/>
  <c r="CK30" i="3"/>
  <c r="CK29" i="3"/>
  <c r="CK27" i="3"/>
  <c r="CK13" i="3"/>
  <c r="CK21" i="3"/>
  <c r="CK16" i="3"/>
  <c r="CK11" i="3"/>
  <c r="CK10" i="3"/>
  <c r="CK15" i="3"/>
  <c r="CK7" i="3"/>
  <c r="CK26" i="3"/>
  <c r="CK24" i="3"/>
  <c r="CK18" i="3"/>
  <c r="CK4" i="3"/>
  <c r="CK25" i="3"/>
  <c r="CK19" i="3"/>
  <c r="CK9" i="3"/>
  <c r="CK23" i="3"/>
  <c r="CK17" i="3"/>
  <c r="CK5" i="3"/>
  <c r="CK8" i="3"/>
  <c r="CK20" i="3"/>
  <c r="CK28" i="3"/>
  <c r="BU67" i="3"/>
  <c r="AC50" i="3"/>
  <c r="AE50" i="3" s="1"/>
  <c r="AC49" i="3"/>
  <c r="AE49" i="3" s="1"/>
  <c r="AC48" i="3"/>
  <c r="AE48" i="3" s="1"/>
  <c r="AC47" i="3"/>
  <c r="AE47" i="3" s="1"/>
  <c r="AC46" i="3"/>
  <c r="AE46" i="3" s="1"/>
  <c r="AC45" i="3"/>
  <c r="AE45" i="3" s="1"/>
  <c r="AC44" i="3"/>
  <c r="AE44" i="3" s="1"/>
  <c r="AC43" i="3"/>
  <c r="AE43" i="3" s="1"/>
  <c r="AC42" i="3"/>
  <c r="AE42" i="3" s="1"/>
  <c r="AC41" i="3"/>
  <c r="AE41" i="3" s="1"/>
  <c r="AC40" i="3"/>
  <c r="AE40" i="3" s="1"/>
  <c r="AC39" i="3"/>
  <c r="AE39" i="3" s="1"/>
  <c r="AC38" i="3"/>
  <c r="AE38" i="3" s="1"/>
  <c r="AC37" i="3"/>
  <c r="AE37" i="3" s="1"/>
  <c r="AC36" i="3"/>
  <c r="AE36" i="3" s="1"/>
  <c r="AC35" i="3"/>
  <c r="AE35" i="3" s="1"/>
  <c r="AC34" i="3"/>
  <c r="AE34" i="3" s="1"/>
  <c r="AC33" i="3"/>
  <c r="AE33" i="3" s="1"/>
  <c r="AC32" i="3"/>
  <c r="AE32" i="3" s="1"/>
  <c r="AC31" i="3"/>
  <c r="AE31" i="3" s="1"/>
  <c r="AC30" i="3"/>
  <c r="AE30" i="3" s="1"/>
  <c r="AC29" i="3"/>
  <c r="AE29" i="3" s="1"/>
  <c r="AC28" i="3"/>
  <c r="AE28" i="3" s="1"/>
  <c r="AC27" i="3"/>
  <c r="AE27" i="3" s="1"/>
  <c r="AC26" i="3"/>
  <c r="AE26" i="3" s="1"/>
  <c r="AC25" i="3"/>
  <c r="AE25" i="3" s="1"/>
  <c r="AC24" i="3"/>
  <c r="AE24" i="3" s="1"/>
  <c r="AC23" i="3"/>
  <c r="AE23" i="3" s="1"/>
  <c r="AC22" i="3"/>
  <c r="AE22" i="3" s="1"/>
  <c r="AC21" i="3"/>
  <c r="AE21" i="3" s="1"/>
  <c r="AC20" i="3"/>
  <c r="AE20" i="3" s="1"/>
  <c r="AC19" i="3"/>
  <c r="AE19" i="3" s="1"/>
  <c r="AC18" i="3"/>
  <c r="AE18" i="3" s="1"/>
  <c r="AC17" i="3"/>
  <c r="AE17" i="3" s="1"/>
  <c r="AC16" i="3"/>
  <c r="AE16" i="3" s="1"/>
  <c r="AC15" i="3"/>
  <c r="AE15" i="3" s="1"/>
  <c r="AC14" i="3"/>
  <c r="AE14" i="3" s="1"/>
  <c r="AC13" i="3"/>
  <c r="AE13" i="3" s="1"/>
  <c r="AC12" i="3"/>
  <c r="AE12" i="3" s="1"/>
  <c r="AC11" i="3"/>
  <c r="AE11" i="3" s="1"/>
  <c r="AC10" i="3"/>
  <c r="AE10" i="3" s="1"/>
  <c r="AC9" i="3"/>
  <c r="AE9" i="3" s="1"/>
  <c r="AC8" i="3"/>
  <c r="AE8" i="3" s="1"/>
  <c r="AC7" i="3"/>
  <c r="AE7" i="3" s="1"/>
  <c r="AC6" i="3"/>
  <c r="AE6" i="3" s="1"/>
  <c r="AC5" i="3"/>
  <c r="AE5" i="3" s="1"/>
  <c r="AC4" i="3"/>
  <c r="AE4" i="3" s="1"/>
  <c r="CA68" i="3" l="1"/>
  <c r="CA67" i="3"/>
  <c r="BZ68" i="3"/>
  <c r="AF21" i="3"/>
  <c r="AG21" i="3"/>
  <c r="AH21" i="3" s="1"/>
  <c r="AI21" i="3" s="1"/>
  <c r="AF44" i="3"/>
  <c r="AG44" i="3"/>
  <c r="AH44" i="3" s="1"/>
  <c r="AI44" i="3" s="1"/>
  <c r="AF5" i="3"/>
  <c r="AG5" i="3"/>
  <c r="AH5" i="3" s="1"/>
  <c r="AI5" i="3" s="1"/>
  <c r="AF45" i="3"/>
  <c r="AG45" i="3"/>
  <c r="AH45" i="3" s="1"/>
  <c r="AI45" i="3" s="1"/>
  <c r="AG15" i="3"/>
  <c r="AH15" i="3" s="1"/>
  <c r="AI15" i="3" s="1"/>
  <c r="AF15" i="3"/>
  <c r="AF13" i="3"/>
  <c r="AG13" i="3"/>
  <c r="AH13" i="3" s="1"/>
  <c r="AI13" i="3" s="1"/>
  <c r="AF22" i="3"/>
  <c r="AG22" i="3"/>
  <c r="AH22" i="3" s="1"/>
  <c r="AI22" i="3" s="1"/>
  <c r="AG46" i="3"/>
  <c r="AH46" i="3" s="1"/>
  <c r="AI46" i="3" s="1"/>
  <c r="AF46" i="3"/>
  <c r="AF14" i="3"/>
  <c r="AG14" i="3"/>
  <c r="AH14" i="3" s="1"/>
  <c r="AI14" i="3" s="1"/>
  <c r="AF37" i="3"/>
  <c r="AG37" i="3"/>
  <c r="AH37" i="3" s="1"/>
  <c r="AI37" i="3" s="1"/>
  <c r="AF38" i="3"/>
  <c r="AG38" i="3"/>
  <c r="AH38" i="3" s="1"/>
  <c r="AI38" i="3" s="1"/>
  <c r="AF7" i="3"/>
  <c r="AG7" i="3"/>
  <c r="AH7" i="3" s="1"/>
  <c r="AI7" i="3" s="1"/>
  <c r="AG31" i="3"/>
  <c r="AH31" i="3" s="1"/>
  <c r="AI31" i="3" s="1"/>
  <c r="AF31" i="3"/>
  <c r="AG8" i="3"/>
  <c r="AH8" i="3" s="1"/>
  <c r="AI8" i="3" s="1"/>
  <c r="AF8" i="3"/>
  <c r="AG32" i="3"/>
  <c r="AH32" i="3" s="1"/>
  <c r="AI32" i="3" s="1"/>
  <c r="AF32" i="3"/>
  <c r="AG47" i="3"/>
  <c r="AH47" i="3" s="1"/>
  <c r="AI47" i="3" s="1"/>
  <c r="AF47" i="3"/>
  <c r="AG25" i="3"/>
  <c r="AH25" i="3" s="1"/>
  <c r="AI25" i="3" s="1"/>
  <c r="AF25" i="3"/>
  <c r="AF40" i="3"/>
  <c r="AG40" i="3"/>
  <c r="AH40" i="3" s="1"/>
  <c r="AI40" i="3" s="1"/>
  <c r="AG18" i="3"/>
  <c r="AH18" i="3" s="1"/>
  <c r="AI18" i="3" s="1"/>
  <c r="AF18" i="3"/>
  <c r="AG26" i="3"/>
  <c r="AH26" i="3" s="1"/>
  <c r="AI26" i="3" s="1"/>
  <c r="AF26" i="3"/>
  <c r="AG34" i="3"/>
  <c r="AH34" i="3" s="1"/>
  <c r="AI34" i="3" s="1"/>
  <c r="AF34" i="3"/>
  <c r="AG41" i="3"/>
  <c r="AH41" i="3" s="1"/>
  <c r="AI41" i="3" s="1"/>
  <c r="AF41" i="3"/>
  <c r="AG49" i="3"/>
  <c r="AH49" i="3" s="1"/>
  <c r="AI49" i="3" s="1"/>
  <c r="AF49" i="3"/>
  <c r="BZ67" i="3"/>
  <c r="AG6" i="3"/>
  <c r="AH6" i="3" s="1"/>
  <c r="AI6" i="3" s="1"/>
  <c r="AF6" i="3"/>
  <c r="AG23" i="3"/>
  <c r="AH23" i="3" s="1"/>
  <c r="AI23" i="3" s="1"/>
  <c r="AF23" i="3"/>
  <c r="AG24" i="3"/>
  <c r="AH24" i="3" s="1"/>
  <c r="AI24" i="3" s="1"/>
  <c r="AF24" i="3"/>
  <c r="AG9" i="3"/>
  <c r="AH9" i="3" s="1"/>
  <c r="AI9" i="3" s="1"/>
  <c r="AF9" i="3"/>
  <c r="AG10" i="3"/>
  <c r="AH10" i="3" s="1"/>
  <c r="AI10" i="3" s="1"/>
  <c r="AF10" i="3"/>
  <c r="AG11" i="3"/>
  <c r="AH11" i="3" s="1"/>
  <c r="AI11" i="3" s="1"/>
  <c r="AF11" i="3"/>
  <c r="AG19" i="3"/>
  <c r="AH19" i="3" s="1"/>
  <c r="AI19" i="3" s="1"/>
  <c r="AF19" i="3"/>
  <c r="AG27" i="3"/>
  <c r="AH27" i="3" s="1"/>
  <c r="AI27" i="3" s="1"/>
  <c r="AF27" i="3"/>
  <c r="AG35" i="3"/>
  <c r="AH35" i="3" s="1"/>
  <c r="AI35" i="3" s="1"/>
  <c r="AF35" i="3"/>
  <c r="AG42" i="3"/>
  <c r="AH42" i="3" s="1"/>
  <c r="AI42" i="3" s="1"/>
  <c r="AF42" i="3"/>
  <c r="AF29" i="3"/>
  <c r="AG29" i="3"/>
  <c r="AH29" i="3" s="1"/>
  <c r="AI29" i="3" s="1"/>
  <c r="AF30" i="3"/>
  <c r="AG30" i="3"/>
  <c r="AH30" i="3" s="1"/>
  <c r="AI30" i="3" s="1"/>
  <c r="AG16" i="3"/>
  <c r="AH16" i="3" s="1"/>
  <c r="AI16" i="3" s="1"/>
  <c r="AF16" i="3"/>
  <c r="AG39" i="3"/>
  <c r="AH39" i="3" s="1"/>
  <c r="AI39" i="3" s="1"/>
  <c r="AF39" i="3"/>
  <c r="AF17" i="3"/>
  <c r="AG17" i="3"/>
  <c r="AH17" i="3" s="1"/>
  <c r="AI17" i="3" s="1"/>
  <c r="AG33" i="3"/>
  <c r="AH33" i="3" s="1"/>
  <c r="AI33" i="3" s="1"/>
  <c r="AF33" i="3"/>
  <c r="AF48" i="3"/>
  <c r="AG48" i="3"/>
  <c r="AH48" i="3" s="1"/>
  <c r="AI48" i="3" s="1"/>
  <c r="AG4" i="3"/>
  <c r="AH4" i="3" s="1"/>
  <c r="AI4" i="3" s="1"/>
  <c r="AF4" i="3"/>
  <c r="AF12" i="3"/>
  <c r="AG12" i="3"/>
  <c r="AH12" i="3" s="1"/>
  <c r="AI12" i="3" s="1"/>
  <c r="AF20" i="3"/>
  <c r="AG20" i="3"/>
  <c r="AH20" i="3" s="1"/>
  <c r="AI20" i="3" s="1"/>
  <c r="AF28" i="3"/>
  <c r="AG28" i="3"/>
  <c r="AH28" i="3" s="1"/>
  <c r="AI28" i="3" s="1"/>
  <c r="AF36" i="3"/>
  <c r="AG36" i="3"/>
  <c r="AH36" i="3" s="1"/>
  <c r="AI36" i="3" s="1"/>
  <c r="AF43" i="3"/>
  <c r="AG43" i="3"/>
  <c r="AH43" i="3" s="1"/>
  <c r="AI43" i="3" s="1"/>
  <c r="AF50" i="3"/>
  <c r="AG50" i="3"/>
  <c r="AH50" i="3" s="1"/>
  <c r="AI50" i="3" s="1"/>
  <c r="BV31" i="3"/>
  <c r="BV47" i="3"/>
  <c r="BV7" i="3"/>
  <c r="BV22" i="3"/>
  <c r="BV55" i="3"/>
  <c r="BV15" i="3"/>
  <c r="BV30" i="3"/>
  <c r="BV39" i="3"/>
  <c r="BV62" i="3"/>
  <c r="BV54" i="3"/>
  <c r="BV46" i="3"/>
  <c r="BV6" i="3"/>
  <c r="BV61" i="3"/>
  <c r="BV53" i="3"/>
  <c r="BV45" i="3"/>
  <c r="BV37" i="3"/>
  <c r="BV29" i="3"/>
  <c r="BV21" i="3"/>
  <c r="BV13" i="3"/>
  <c r="BV5" i="3"/>
  <c r="BV14" i="3"/>
  <c r="BV59" i="3"/>
  <c r="BV51" i="3"/>
  <c r="BV43" i="3"/>
  <c r="BV35" i="3"/>
  <c r="BV27" i="3"/>
  <c r="BV19" i="3"/>
  <c r="BV11" i="3"/>
  <c r="BV66" i="3"/>
  <c r="BV63" i="3"/>
  <c r="BV23" i="3"/>
  <c r="BV38" i="3"/>
  <c r="BV18" i="3"/>
  <c r="BV8" i="3"/>
  <c r="BV34" i="3"/>
  <c r="BV16" i="3"/>
  <c r="BV20" i="3"/>
  <c r="BV24" i="3"/>
  <c r="BV33" i="3"/>
  <c r="BV36" i="3"/>
  <c r="BV4" i="3"/>
  <c r="BV32" i="3"/>
  <c r="BV49" i="3"/>
  <c r="BV52" i="3"/>
  <c r="BV12" i="3"/>
  <c r="BV40" i="3"/>
  <c r="BV57" i="3"/>
  <c r="BV9" i="3"/>
  <c r="BV28" i="3"/>
  <c r="BV64" i="3"/>
  <c r="BV42" i="3"/>
  <c r="BV17" i="3"/>
  <c r="BV58" i="3"/>
  <c r="BV25" i="3"/>
  <c r="BV50" i="3"/>
  <c r="BV48" i="3"/>
  <c r="BV10" i="3"/>
  <c r="BV41" i="3"/>
  <c r="BV44" i="3"/>
  <c r="AC53" i="3"/>
  <c r="AD21" i="3" s="1"/>
  <c r="BV56" i="3"/>
  <c r="BV26" i="3"/>
  <c r="BV65" i="3"/>
  <c r="BV60" i="3"/>
  <c r="AI53" i="3" l="1"/>
  <c r="AI54" i="3"/>
  <c r="AH54" i="3"/>
  <c r="AH53" i="3"/>
  <c r="AD35" i="3"/>
  <c r="AD18" i="3"/>
  <c r="AD10" i="3"/>
  <c r="AD15" i="3"/>
  <c r="AD7" i="3"/>
  <c r="AD45" i="3"/>
  <c r="AD5" i="3"/>
  <c r="AD12" i="3"/>
  <c r="AD47" i="3"/>
  <c r="AD42" i="3"/>
  <c r="AD20" i="3"/>
  <c r="AD9" i="3"/>
  <c r="AD28" i="3"/>
  <c r="AD39" i="3"/>
  <c r="AD27" i="3"/>
  <c r="AD26" i="3"/>
  <c r="AD11" i="3"/>
  <c r="AD43" i="3"/>
  <c r="AD50" i="3"/>
  <c r="AD40" i="3"/>
  <c r="AD46" i="3"/>
  <c r="AD52" i="3"/>
  <c r="AD37" i="3"/>
  <c r="AD49" i="3"/>
  <c r="AD33" i="3"/>
  <c r="AD16" i="3"/>
  <c r="AD22" i="3"/>
  <c r="AD4" i="3"/>
  <c r="AD44" i="3"/>
  <c r="AD48" i="3"/>
  <c r="AD32" i="3"/>
  <c r="AD19" i="3"/>
  <c r="AD38" i="3"/>
  <c r="AD29" i="3"/>
  <c r="AD13" i="3"/>
  <c r="AD24" i="3"/>
  <c r="AD30" i="3"/>
  <c r="AD41" i="3"/>
  <c r="AD25" i="3"/>
  <c r="AD8" i="3"/>
  <c r="AD31" i="3"/>
  <c r="AD14" i="3"/>
  <c r="AD36" i="3"/>
  <c r="AD51" i="3"/>
  <c r="AD34" i="3"/>
  <c r="AD17" i="3"/>
  <c r="AD23" i="3"/>
  <c r="AD6" i="3"/>
  <c r="N46" i="1"/>
  <c r="O44" i="1" s="1"/>
  <c r="C32" i="1"/>
  <c r="D8" i="1" s="1"/>
  <c r="O39" i="1" l="1"/>
  <c r="D15" i="1"/>
  <c r="D26" i="1"/>
  <c r="D18" i="1"/>
  <c r="D30" i="1"/>
  <c r="D20" i="1"/>
  <c r="O5" i="1"/>
  <c r="D24" i="1"/>
  <c r="D13" i="1"/>
  <c r="D28" i="1"/>
  <c r="D29" i="1"/>
  <c r="D10" i="1"/>
  <c r="D22" i="1"/>
  <c r="D11" i="1"/>
  <c r="D27" i="1"/>
  <c r="D16" i="1"/>
  <c r="D25" i="1"/>
  <c r="D9" i="1"/>
  <c r="D23" i="1"/>
  <c r="O12" i="1"/>
  <c r="O40" i="1"/>
  <c r="O11" i="1"/>
  <c r="O17" i="1"/>
  <c r="D12" i="1"/>
  <c r="O19" i="1"/>
  <c r="O36" i="1"/>
  <c r="O26" i="1"/>
  <c r="O27" i="1"/>
  <c r="O28" i="1"/>
  <c r="O10" i="1"/>
  <c r="O41" i="1"/>
  <c r="D21" i="1"/>
  <c r="O18" i="1"/>
  <c r="O32" i="1"/>
  <c r="O45" i="1"/>
  <c r="O33" i="1"/>
  <c r="D19" i="1"/>
  <c r="O20" i="1"/>
  <c r="O34" i="1"/>
  <c r="O9" i="1"/>
  <c r="O25" i="1"/>
  <c r="O35" i="1"/>
  <c r="D17" i="1"/>
  <c r="O6" i="1"/>
  <c r="O14" i="1"/>
  <c r="O22" i="1"/>
  <c r="O30" i="1"/>
  <c r="D5" i="1"/>
  <c r="D6" i="1"/>
  <c r="O13" i="1"/>
  <c r="O21" i="1"/>
  <c r="O7" i="1"/>
  <c r="O15" i="1"/>
  <c r="O23" i="1"/>
  <c r="O31" i="1"/>
  <c r="O37" i="1"/>
  <c r="D31" i="1"/>
  <c r="D7" i="1"/>
  <c r="O29" i="1"/>
  <c r="O8" i="1"/>
  <c r="O16" i="1"/>
  <c r="O24" i="1"/>
  <c r="O38" i="1"/>
  <c r="D14" i="1"/>
  <c r="O42" i="1"/>
  <c r="O43" i="1"/>
  <c r="AN51" i="3" l="1"/>
  <c r="BE59" i="3"/>
  <c r="BF52" i="3" s="1"/>
  <c r="N46" i="3"/>
  <c r="O45" i="3" s="1"/>
  <c r="C31" i="3"/>
  <c r="D19" i="3"/>
  <c r="D30" i="3" l="1"/>
  <c r="D4" i="3"/>
  <c r="AO10" i="3"/>
  <c r="G30" i="3"/>
  <c r="H30" i="3" s="1"/>
  <c r="I30" i="3" s="1"/>
  <c r="F30" i="3"/>
  <c r="BF8" i="3"/>
  <c r="BF39" i="3"/>
  <c r="BF7" i="3"/>
  <c r="BF32" i="3"/>
  <c r="BF48" i="3"/>
  <c r="BF15" i="3"/>
  <c r="BF58" i="3"/>
  <c r="BF16" i="3"/>
  <c r="BF24" i="3"/>
  <c r="AO6" i="3"/>
  <c r="BF23" i="3"/>
  <c r="BF31" i="3"/>
  <c r="AO7" i="3"/>
  <c r="BF40" i="3"/>
  <c r="BF49" i="3"/>
  <c r="BF17" i="3"/>
  <c r="BF33" i="3"/>
  <c r="BF41" i="3"/>
  <c r="BF50" i="3"/>
  <c r="BF9" i="3"/>
  <c r="BF25" i="3"/>
  <c r="BF10" i="3"/>
  <c r="BF18" i="3"/>
  <c r="BF26" i="3"/>
  <c r="BF34" i="3"/>
  <c r="BF42" i="3"/>
  <c r="BF51" i="3"/>
  <c r="AO4" i="3"/>
  <c r="BF11" i="3"/>
  <c r="BF27" i="3"/>
  <c r="BF43" i="3"/>
  <c r="BF12" i="3"/>
  <c r="BF20" i="3"/>
  <c r="BF36" i="3"/>
  <c r="BF44" i="3"/>
  <c r="BF55" i="3"/>
  <c r="BF13" i="3"/>
  <c r="BF45" i="3"/>
  <c r="AO8" i="3"/>
  <c r="BF19" i="3"/>
  <c r="BF35" i="3"/>
  <c r="BF53" i="3"/>
  <c r="BF4" i="3"/>
  <c r="BF28" i="3"/>
  <c r="BF5" i="3"/>
  <c r="BF21" i="3"/>
  <c r="BF29" i="3"/>
  <c r="BF37" i="3"/>
  <c r="BF56" i="3"/>
  <c r="BF6" i="3"/>
  <c r="BF14" i="3"/>
  <c r="BF22" i="3"/>
  <c r="BF30" i="3"/>
  <c r="BF38" i="3"/>
  <c r="BF47" i="3"/>
  <c r="BF57" i="3"/>
  <c r="AO9" i="3"/>
  <c r="BF46" i="3"/>
  <c r="BF54" i="3"/>
  <c r="AO5" i="3"/>
  <c r="AO50" i="3"/>
  <c r="AO43" i="3"/>
  <c r="AO36" i="3"/>
  <c r="AO28" i="3"/>
  <c r="AO20" i="3"/>
  <c r="AO12" i="3"/>
  <c r="AO26" i="3"/>
  <c r="AO47" i="3"/>
  <c r="AO33" i="3"/>
  <c r="AO25" i="3"/>
  <c r="AO40" i="3"/>
  <c r="AO16" i="3"/>
  <c r="AO39" i="3"/>
  <c r="AO23" i="3"/>
  <c r="AO49" i="3"/>
  <c r="AO42" i="3"/>
  <c r="AO35" i="3"/>
  <c r="AO27" i="3"/>
  <c r="AO19" i="3"/>
  <c r="AO48" i="3"/>
  <c r="AO34" i="3"/>
  <c r="AO18" i="3"/>
  <c r="AO41" i="3"/>
  <c r="AO17" i="3"/>
  <c r="AO32" i="3"/>
  <c r="AO45" i="3"/>
  <c r="AO38" i="3"/>
  <c r="AO30" i="3"/>
  <c r="AO22" i="3"/>
  <c r="AO14" i="3"/>
  <c r="AO44" i="3"/>
  <c r="AO37" i="3"/>
  <c r="AO29" i="3"/>
  <c r="AO21" i="3"/>
  <c r="AO13" i="3"/>
  <c r="AO46" i="3"/>
  <c r="AO24" i="3"/>
  <c r="AO31" i="3"/>
  <c r="AO15" i="3"/>
  <c r="AO11" i="3"/>
  <c r="O19" i="3"/>
  <c r="O28" i="3"/>
  <c r="D29" i="3"/>
  <c r="O34" i="3"/>
  <c r="O43" i="3"/>
  <c r="D16" i="3"/>
  <c r="D20" i="3"/>
  <c r="D11" i="3"/>
  <c r="D12" i="3"/>
  <c r="D24" i="3"/>
  <c r="D15" i="3"/>
  <c r="O24" i="3"/>
  <c r="O7" i="3"/>
  <c r="D21" i="3"/>
  <c r="O15" i="3"/>
  <c r="D25" i="3"/>
  <c r="D7" i="3"/>
  <c r="O35" i="3"/>
  <c r="O20" i="3"/>
  <c r="O37" i="3"/>
  <c r="O38" i="3"/>
  <c r="D6" i="3"/>
  <c r="O21" i="3"/>
  <c r="O5" i="3"/>
  <c r="D13" i="3"/>
  <c r="O17" i="3"/>
  <c r="O22" i="3"/>
  <c r="D27" i="3"/>
  <c r="O31" i="3"/>
  <c r="O40" i="3"/>
  <c r="D9" i="3"/>
  <c r="D5" i="3"/>
  <c r="O10" i="3"/>
  <c r="O16" i="3"/>
  <c r="O25" i="3"/>
  <c r="O30" i="3"/>
  <c r="D10" i="3"/>
  <c r="O12" i="3"/>
  <c r="D17" i="3"/>
  <c r="O26" i="3"/>
  <c r="O9" i="3"/>
  <c r="O13" i="3"/>
  <c r="O18" i="3"/>
  <c r="D23" i="3"/>
  <c r="O27" i="3"/>
  <c r="O32" i="3"/>
  <c r="O41" i="3"/>
  <c r="O8" i="3"/>
  <c r="O4" i="3"/>
  <c r="O11" i="3"/>
  <c r="O29" i="3"/>
  <c r="O6" i="3"/>
  <c r="O39" i="3"/>
  <c r="O14" i="3"/>
  <c r="O23" i="3"/>
  <c r="D28" i="3"/>
  <c r="O33" i="3"/>
  <c r="O42" i="3"/>
  <c r="D8" i="3"/>
  <c r="D14" i="3"/>
  <c r="D18" i="3"/>
  <c r="D22" i="3"/>
  <c r="D26" i="3"/>
  <c r="O36" i="3"/>
  <c r="O44" i="3"/>
  <c r="G22" i="3" l="1"/>
  <c r="H22" i="3" s="1"/>
  <c r="I22" i="3" s="1"/>
  <c r="F22" i="3"/>
  <c r="F26" i="3"/>
  <c r="G26" i="3"/>
  <c r="H26" i="3" s="1"/>
  <c r="I26" i="3" s="1"/>
  <c r="F20" i="3"/>
  <c r="G20" i="3"/>
  <c r="H20" i="3" s="1"/>
  <c r="I20" i="3" s="1"/>
  <c r="G16" i="3"/>
  <c r="H16" i="3" s="1"/>
  <c r="I16" i="3" s="1"/>
  <c r="F16" i="3"/>
  <c r="F4" i="3"/>
  <c r="F6" i="3"/>
  <c r="G6" i="3"/>
  <c r="H6" i="3" s="1"/>
  <c r="I6" i="3" s="1"/>
  <c r="G8" i="3"/>
  <c r="H8" i="3" s="1"/>
  <c r="I8" i="3" s="1"/>
  <c r="F8" i="3"/>
  <c r="G24" i="3"/>
  <c r="H24" i="3" s="1"/>
  <c r="I24" i="3" s="1"/>
  <c r="F24" i="3"/>
  <c r="F28" i="3"/>
  <c r="G28" i="3"/>
  <c r="H28" i="3" s="1"/>
  <c r="I28" i="3" s="1"/>
  <c r="F18" i="3"/>
  <c r="G18" i="3"/>
  <c r="H18" i="3" s="1"/>
  <c r="I18" i="3" s="1"/>
  <c r="G14" i="3"/>
  <c r="H14" i="3" s="1"/>
  <c r="I14" i="3" s="1"/>
  <c r="F14" i="3"/>
  <c r="F10" i="3"/>
  <c r="G10" i="3"/>
  <c r="H10" i="3" s="1"/>
  <c r="I10" i="3" s="1"/>
  <c r="F12" i="3"/>
  <c r="G12" i="3"/>
  <c r="H12" i="3" s="1"/>
  <c r="I12" i="3" s="1"/>
  <c r="F31" i="3" l="1"/>
  <c r="F32" i="3" s="1"/>
  <c r="I31" i="3"/>
  <c r="I32" i="3"/>
  <c r="H32" i="3"/>
  <c r="H31" i="3"/>
</calcChain>
</file>

<file path=xl/sharedStrings.xml><?xml version="1.0" encoding="utf-8"?>
<sst xmlns="http://schemas.openxmlformats.org/spreadsheetml/2006/main" count="5062" uniqueCount="721">
  <si>
    <t>Taxon</t>
  </si>
  <si>
    <t>Dec, 2020</t>
  </si>
  <si>
    <t>Frequency</t>
  </si>
  <si>
    <t>Different occurances</t>
  </si>
  <si>
    <r>
      <rPr>
        <i/>
        <sz val="11"/>
        <color theme="1"/>
        <rFont val="Calibri"/>
        <family val="2"/>
        <scheme val="minor"/>
      </rPr>
      <t xml:space="preserve">Navicula </t>
    </r>
    <r>
      <rPr>
        <sz val="11"/>
        <color theme="1"/>
        <rFont val="Calibri"/>
        <family val="2"/>
        <scheme val="minor"/>
      </rPr>
      <t>spp.</t>
    </r>
  </si>
  <si>
    <r>
      <t>Asterionellopsis</t>
    </r>
    <r>
      <rPr>
        <sz val="11"/>
        <color theme="1"/>
        <rFont val="Calibri"/>
        <family val="2"/>
        <scheme val="minor"/>
      </rPr>
      <t>sp.</t>
    </r>
  </si>
  <si>
    <t>Pinnularia sp.</t>
  </si>
  <si>
    <r>
      <rPr>
        <i/>
        <sz val="11"/>
        <color theme="1"/>
        <rFont val="Calibri"/>
        <family val="2"/>
        <scheme val="minor"/>
      </rPr>
      <t xml:space="preserve">Nitzschia </t>
    </r>
    <r>
      <rPr>
        <sz val="11"/>
        <color theme="1"/>
        <rFont val="Calibri"/>
        <family val="2"/>
        <scheme val="minor"/>
      </rPr>
      <t>spp.</t>
    </r>
  </si>
  <si>
    <r>
      <t xml:space="preserve">Bacillaria </t>
    </r>
    <r>
      <rPr>
        <sz val="11"/>
        <color theme="1"/>
        <rFont val="Calibri"/>
        <family val="2"/>
        <scheme val="minor"/>
      </rPr>
      <t>sp.</t>
    </r>
  </si>
  <si>
    <r>
      <t xml:space="preserve">Thalassionema </t>
    </r>
    <r>
      <rPr>
        <sz val="11"/>
        <color theme="1"/>
        <rFont val="Calibri"/>
        <family val="2"/>
        <scheme val="minor"/>
      </rPr>
      <t>spp.</t>
    </r>
  </si>
  <si>
    <r>
      <t xml:space="preserve">Gyrosigma </t>
    </r>
    <r>
      <rPr>
        <sz val="11"/>
        <color theme="1"/>
        <rFont val="Calibri"/>
        <family val="2"/>
        <scheme val="minor"/>
      </rPr>
      <t>spp.</t>
    </r>
  </si>
  <si>
    <r>
      <t xml:space="preserve">Amphora </t>
    </r>
    <r>
      <rPr>
        <sz val="11"/>
        <color theme="1"/>
        <rFont val="Calibri"/>
        <family val="2"/>
        <scheme val="minor"/>
      </rPr>
      <t>spp.</t>
    </r>
  </si>
  <si>
    <r>
      <t xml:space="preserve">Detonula </t>
    </r>
    <r>
      <rPr>
        <sz val="11"/>
        <color theme="1"/>
        <rFont val="Calibri"/>
        <family val="2"/>
        <scheme val="minor"/>
      </rPr>
      <t xml:space="preserve">sp. </t>
    </r>
  </si>
  <si>
    <t>Jan, 2021</t>
  </si>
  <si>
    <t>Cocconeis sp.</t>
  </si>
  <si>
    <r>
      <rPr>
        <i/>
        <sz val="11"/>
        <color theme="1"/>
        <rFont val="Calibri"/>
        <family val="2"/>
        <scheme val="minor"/>
      </rPr>
      <t xml:space="preserve">Entomoneis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</si>
  <si>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 xml:space="preserve">Scrippsiella </t>
    </r>
    <r>
      <rPr>
        <sz val="11"/>
        <color theme="1"/>
        <rFont val="Calibri"/>
        <family val="2"/>
        <scheme val="minor"/>
      </rPr>
      <t xml:space="preserve">spp. </t>
    </r>
  </si>
  <si>
    <r>
      <rPr>
        <i/>
        <sz val="11"/>
        <color theme="1"/>
        <rFont val="Calibri"/>
        <family val="2"/>
        <scheme val="minor"/>
      </rPr>
      <t xml:space="preserve">Cylindrotheca </t>
    </r>
    <r>
      <rPr>
        <sz val="11"/>
        <color theme="1"/>
        <rFont val="Calibri"/>
        <family val="2"/>
        <scheme val="minor"/>
      </rPr>
      <t>spp.</t>
    </r>
  </si>
  <si>
    <r>
      <t xml:space="preserve">Amphora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</si>
  <si>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Navicula </t>
    </r>
    <r>
      <rPr>
        <sz val="11"/>
        <color theme="1"/>
        <rFont val="Calibri"/>
        <family val="2"/>
        <scheme val="minor"/>
      </rPr>
      <t>spp.</t>
    </r>
  </si>
  <si>
    <r>
      <t xml:space="preserve">Prorocentrum </t>
    </r>
    <r>
      <rPr>
        <sz val="11"/>
        <color theme="1"/>
        <rFont val="Calibri"/>
        <family val="2"/>
        <scheme val="minor"/>
      </rPr>
      <t>spp.</t>
    </r>
  </si>
  <si>
    <r>
      <t xml:space="preserve">Guinardia </t>
    </r>
    <r>
      <rPr>
        <sz val="11"/>
        <color theme="1"/>
        <rFont val="Calibri"/>
        <family val="2"/>
        <scheme val="minor"/>
      </rPr>
      <t>spp.</t>
    </r>
  </si>
  <si>
    <r>
      <t xml:space="preserve">Ostreopsis </t>
    </r>
    <r>
      <rPr>
        <sz val="11"/>
        <color theme="1"/>
        <rFont val="Calibri"/>
        <family val="2"/>
        <scheme val="minor"/>
      </rPr>
      <t>spp.</t>
    </r>
  </si>
  <si>
    <r>
      <t xml:space="preserve">Mastogloia </t>
    </r>
    <r>
      <rPr>
        <sz val="11"/>
        <color theme="1"/>
        <rFont val="Calibri"/>
        <family val="2"/>
        <scheme val="minor"/>
      </rPr>
      <t>spp.</t>
    </r>
  </si>
  <si>
    <r>
      <t xml:space="preserve">Oxyrrhis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</si>
  <si>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Rhizosolenia </t>
    </r>
    <r>
      <rPr>
        <sz val="11"/>
        <color theme="1"/>
        <rFont val="Calibri"/>
        <family val="2"/>
        <scheme val="minor"/>
      </rPr>
      <t>spp.</t>
    </r>
  </si>
  <si>
    <r>
      <t xml:space="preserve">Gonyaulax </t>
    </r>
    <r>
      <rPr>
        <sz val="11"/>
        <color theme="1"/>
        <rFont val="Calibri"/>
        <family val="2"/>
        <scheme val="minor"/>
      </rPr>
      <t>spp.</t>
    </r>
  </si>
  <si>
    <r>
      <t xml:space="preserve">Euglena </t>
    </r>
    <r>
      <rPr>
        <sz val="11"/>
        <color theme="1"/>
        <rFont val="Calibri"/>
        <family val="2"/>
        <scheme val="minor"/>
      </rPr>
      <t>spp.</t>
    </r>
  </si>
  <si>
    <r>
      <t xml:space="preserve">Pleurosigma </t>
    </r>
    <r>
      <rPr>
        <sz val="11"/>
        <color theme="1"/>
        <rFont val="Calibri"/>
        <family val="2"/>
        <scheme val="minor"/>
      </rPr>
      <t>spp.</t>
    </r>
  </si>
  <si>
    <r>
      <t xml:space="preserve">Pinnularia </t>
    </r>
    <r>
      <rPr>
        <sz val="11"/>
        <color theme="1"/>
        <rFont val="Calibri"/>
        <family val="2"/>
        <scheme val="minor"/>
      </rPr>
      <t>spp.</t>
    </r>
  </si>
  <si>
    <r>
      <t xml:space="preserve">Chaetoceros </t>
    </r>
    <r>
      <rPr>
        <sz val="11"/>
        <color theme="1"/>
        <rFont val="Calibri"/>
        <family val="2"/>
        <scheme val="minor"/>
      </rPr>
      <t>spp.</t>
    </r>
  </si>
  <si>
    <r>
      <t xml:space="preserve">Cocconeis </t>
    </r>
    <r>
      <rPr>
        <sz val="11"/>
        <color theme="1"/>
        <rFont val="Calibri"/>
        <family val="2"/>
        <scheme val="minor"/>
      </rPr>
      <t>spp.</t>
    </r>
  </si>
  <si>
    <r>
      <t xml:space="preserve">Achnanthes </t>
    </r>
    <r>
      <rPr>
        <sz val="11"/>
        <color theme="1"/>
        <rFont val="Calibri"/>
        <family val="2"/>
        <scheme val="minor"/>
      </rPr>
      <t>spp.</t>
    </r>
  </si>
  <si>
    <r>
      <t xml:space="preserve">Microcoleus </t>
    </r>
    <r>
      <rPr>
        <sz val="11"/>
        <color theme="1"/>
        <rFont val="Calibri"/>
        <family val="2"/>
        <scheme val="minor"/>
      </rPr>
      <t>sp.</t>
    </r>
  </si>
  <si>
    <t>Thalassionema nitzschiodes</t>
  </si>
  <si>
    <t>Dinoflagellate cyst</t>
  </si>
  <si>
    <r>
      <t xml:space="preserve">Scrippsiella </t>
    </r>
    <r>
      <rPr>
        <sz val="11"/>
        <color theme="1"/>
        <rFont val="Calibri"/>
        <family val="2"/>
        <scheme val="minor"/>
      </rPr>
      <t>spp.</t>
    </r>
  </si>
  <si>
    <r>
      <t xml:space="preserve">Nitzschia </t>
    </r>
    <r>
      <rPr>
        <sz val="11"/>
        <color theme="1"/>
        <rFont val="Calibri"/>
        <family val="2"/>
        <scheme val="minor"/>
      </rPr>
      <t>spp.</t>
    </r>
  </si>
  <si>
    <r>
      <t xml:space="preserve">Gymnodinium </t>
    </r>
    <r>
      <rPr>
        <sz val="11"/>
        <color theme="1"/>
        <rFont val="Calibri"/>
        <family val="2"/>
        <scheme val="minor"/>
      </rPr>
      <t>spp.</t>
    </r>
  </si>
  <si>
    <r>
      <t xml:space="preserve">Cylindrotheca </t>
    </r>
    <r>
      <rPr>
        <sz val="11"/>
        <color theme="1"/>
        <rFont val="Calibri"/>
        <family val="2"/>
        <scheme val="minor"/>
      </rPr>
      <t>spp.</t>
    </r>
  </si>
  <si>
    <r>
      <t xml:space="preserve">Coscinodiscus </t>
    </r>
    <r>
      <rPr>
        <sz val="11"/>
        <color theme="1"/>
        <rFont val="Calibri"/>
        <family val="2"/>
        <scheme val="minor"/>
      </rPr>
      <t>spp.</t>
    </r>
  </si>
  <si>
    <r>
      <t xml:space="preserve">Alexandrium </t>
    </r>
    <r>
      <rPr>
        <sz val="11"/>
        <color theme="1"/>
        <rFont val="Calibri"/>
        <family val="2"/>
        <scheme val="minor"/>
      </rPr>
      <t>spp.</t>
    </r>
  </si>
  <si>
    <t>Ceratium sp.</t>
  </si>
  <si>
    <t xml:space="preserve">Pyrophacus sp. </t>
  </si>
  <si>
    <t>Ditylum sp</t>
  </si>
  <si>
    <t>Biddulpha sp.</t>
  </si>
  <si>
    <t>October, 2020</t>
  </si>
  <si>
    <t>Species</t>
  </si>
  <si>
    <t>% Freq.</t>
  </si>
  <si>
    <t>Bacillaria sp.</t>
  </si>
  <si>
    <t>Cynlindrotheca closterium</t>
  </si>
  <si>
    <t>Scrippsiella trichoidea</t>
  </si>
  <si>
    <t>Leptocylindricus sp.</t>
  </si>
  <si>
    <t>Guinardia striata</t>
  </si>
  <si>
    <t>Spirulina sp.</t>
  </si>
  <si>
    <t>Cymbella sp.</t>
  </si>
  <si>
    <t>Gambierdiscus sp.</t>
  </si>
  <si>
    <t>Entomoneis spp</t>
  </si>
  <si>
    <t xml:space="preserve">Thalassionema sp. </t>
  </si>
  <si>
    <t>Melosira sp.</t>
  </si>
  <si>
    <t xml:space="preserve">Trichodesmium sp. </t>
  </si>
  <si>
    <t>Protoperidium divergens</t>
  </si>
  <si>
    <t xml:space="preserve">Gyrosigma sp. </t>
  </si>
  <si>
    <t>Ebria spp.</t>
  </si>
  <si>
    <t>Surirella sp.</t>
  </si>
  <si>
    <t xml:space="preserve">Synedra spp. </t>
  </si>
  <si>
    <t>Ulnaria capitata</t>
  </si>
  <si>
    <t>Favella sp.</t>
  </si>
  <si>
    <t>Licmophora sp.</t>
  </si>
  <si>
    <t xml:space="preserve">Nocticula sp. </t>
  </si>
  <si>
    <r>
      <rPr>
        <i/>
        <sz val="11"/>
        <color theme="1"/>
        <rFont val="Calibri"/>
        <family val="2"/>
        <scheme val="minor"/>
      </rPr>
      <t>Coscinodiscus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</si>
  <si>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Rhizosolenia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</si>
  <si>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Amphora</t>
    </r>
    <r>
      <rPr>
        <sz val="11"/>
        <color theme="1"/>
        <rFont val="Calibri"/>
        <family val="2"/>
        <scheme val="minor"/>
      </rPr>
      <t xml:space="preserve"> spp.</t>
    </r>
  </si>
  <si>
    <r>
      <t>Gyrodinium</t>
    </r>
    <r>
      <rPr>
        <sz val="11"/>
        <color theme="1"/>
        <rFont val="Calibri"/>
        <family val="2"/>
        <scheme val="minor"/>
      </rPr>
      <t xml:space="preserve"> spp</t>
    </r>
  </si>
  <si>
    <r>
      <rPr>
        <i/>
        <sz val="11"/>
        <color theme="1"/>
        <rFont val="Calibri"/>
        <family val="2"/>
        <scheme val="minor"/>
      </rPr>
      <t>Pleurosigma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</si>
  <si>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Thalassiosira</t>
    </r>
    <r>
      <rPr>
        <sz val="11"/>
        <color theme="1"/>
        <rFont val="Calibri"/>
        <family val="2"/>
        <scheme val="minor"/>
      </rPr>
      <t xml:space="preserve"> spp</t>
    </r>
  </si>
  <si>
    <r>
      <rPr>
        <i/>
        <sz val="11"/>
        <color theme="1"/>
        <rFont val="Calibri"/>
        <family val="2"/>
        <scheme val="minor"/>
      </rPr>
      <t>Myrionecta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</si>
  <si>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 xml:space="preserve">Gyrosigma </t>
    </r>
    <r>
      <rPr>
        <sz val="11"/>
        <color theme="1"/>
        <rFont val="Calibri"/>
        <family val="2"/>
        <scheme val="minor"/>
      </rPr>
      <t>spp</t>
    </r>
  </si>
  <si>
    <r>
      <rPr>
        <i/>
        <sz val="11"/>
        <color theme="1"/>
        <rFont val="Calibri"/>
        <family val="2"/>
        <scheme val="minor"/>
      </rPr>
      <t>Chaetoceros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</si>
  <si>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Merismopedia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</si>
  <si>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Prorocentrum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</si>
  <si>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Pseudonitzschia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</si>
  <si>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Odontella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</si>
  <si>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 xml:space="preserve">Amphidinium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</si>
  <si>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>Gymnodinium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</si>
  <si>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Cymatopleura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</si>
  <si>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Skeletonema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</si>
  <si>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Nitzschia</t>
    </r>
    <r>
      <rPr>
        <sz val="11"/>
        <color theme="1"/>
        <rFont val="Calibri"/>
        <family val="2"/>
        <scheme val="minor"/>
      </rPr>
      <t xml:space="preserve"> spp.</t>
    </r>
  </si>
  <si>
    <t>Asterionellopsis sp.</t>
  </si>
  <si>
    <t>Zooplankton spp.</t>
  </si>
  <si>
    <t xml:space="preserve">Bacterialiastrum sp. </t>
  </si>
  <si>
    <t>Bacillaria spp.</t>
  </si>
  <si>
    <t>Eunotia sp.</t>
  </si>
  <si>
    <t>Diploneis spp.</t>
  </si>
  <si>
    <t>Cerataulina sp.</t>
  </si>
  <si>
    <t>Heterocapsa spp.</t>
  </si>
  <si>
    <t>Probisca sp.</t>
  </si>
  <si>
    <t>Mastogloia sp.</t>
  </si>
  <si>
    <t xml:space="preserve">Chroococcus sp. </t>
  </si>
  <si>
    <t>Unidentified (cyanobacteria.) Cluster</t>
  </si>
  <si>
    <t>Jan. 2021</t>
  </si>
  <si>
    <r>
      <rPr>
        <i/>
        <sz val="11"/>
        <color theme="1"/>
        <rFont val="Calibri"/>
        <family val="2"/>
        <scheme val="minor"/>
      </rPr>
      <t>Asterionellopsis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</si>
  <si>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Gyrodinium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</si>
  <si>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Leptocylindricus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</si>
  <si>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Thalassiosira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</si>
  <si>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Pinnularia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</si>
  <si>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Hemiaulus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</si>
  <si>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Gyrosigma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</si>
  <si>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Protoceratium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</si>
  <si>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Entomoneis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</si>
  <si>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Achanthes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</si>
  <si>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 xml:space="preserve">Rhizosolenia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</si>
  <si>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>Oxyrrhis</t>
    </r>
    <r>
      <rPr>
        <sz val="11"/>
        <color theme="1"/>
        <rFont val="Calibri"/>
        <family val="2"/>
        <scheme val="minor"/>
      </rPr>
      <t xml:space="preserve"> spp.</t>
    </r>
  </si>
  <si>
    <t>September, 2020</t>
  </si>
  <si>
    <r>
      <rPr>
        <i/>
        <sz val="11"/>
        <color rgb="FF000000"/>
        <rFont val="Calibri"/>
        <family val="2"/>
        <scheme val="minor"/>
      </rPr>
      <t>Rhizosolenia sp</t>
    </r>
    <r>
      <rPr>
        <sz val="11"/>
        <color rgb="FF000000"/>
        <rFont val="Calibri"/>
        <family val="2"/>
        <scheme val="minor"/>
      </rPr>
      <t xml:space="preserve">. </t>
    </r>
  </si>
  <si>
    <r>
      <rPr>
        <i/>
        <sz val="11"/>
        <color theme="1"/>
        <rFont val="Calibri"/>
        <family val="2"/>
        <scheme val="minor"/>
      </rPr>
      <t>Navicula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</si>
  <si>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Coscinodiscus</t>
    </r>
    <r>
      <rPr>
        <sz val="11"/>
        <color theme="1"/>
        <rFont val="Calibri"/>
        <family val="2"/>
        <scheme val="minor"/>
      </rPr>
      <t xml:space="preserve"> spp</t>
    </r>
  </si>
  <si>
    <r>
      <rPr>
        <i/>
        <sz val="11"/>
        <color theme="1"/>
        <rFont val="Calibri"/>
        <family val="2"/>
        <scheme val="minor"/>
      </rPr>
      <t>Myrionecta sp.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</si>
  <si>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Cylindrotheca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</si>
  <si>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Thalassionema</t>
    </r>
    <r>
      <rPr>
        <sz val="11"/>
        <color theme="1"/>
        <rFont val="Calibri"/>
        <family val="2"/>
        <scheme val="minor"/>
      </rPr>
      <t xml:space="preserve"> spp.</t>
    </r>
  </si>
  <si>
    <t>Thalassiothrix  sp.</t>
  </si>
  <si>
    <r>
      <t>Euglena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</si>
  <si>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Odontella sp.</t>
    </r>
    <r>
      <rPr>
        <sz val="11"/>
        <color theme="1"/>
        <rFont val="Calibri"/>
        <family val="2"/>
        <scheme val="minor"/>
      </rPr>
      <t xml:space="preserve"> </t>
    </r>
  </si>
  <si>
    <t>Scrippsiella sp.</t>
  </si>
  <si>
    <r>
      <rPr>
        <i/>
        <sz val="12"/>
        <color rgb="FF000000"/>
        <rFont val="Calibri"/>
        <family val="2"/>
        <scheme val="minor"/>
      </rPr>
      <t>Prorocentrum</t>
    </r>
    <r>
      <rPr>
        <sz val="12"/>
        <color rgb="FF000000"/>
        <rFont val="Calibri"/>
        <family val="2"/>
        <scheme val="minor"/>
      </rPr>
      <t xml:space="preserve"> spp</t>
    </r>
  </si>
  <si>
    <r>
      <rPr>
        <i/>
        <sz val="11"/>
        <color theme="1"/>
        <rFont val="Calibri"/>
        <family val="2"/>
        <scheme val="minor"/>
      </rPr>
      <t>Leptocylindricus</t>
    </r>
    <r>
      <rPr>
        <sz val="11"/>
        <color theme="1"/>
        <rFont val="Calibri"/>
        <family val="2"/>
        <scheme val="minor"/>
      </rPr>
      <t xml:space="preserve"> spp</t>
    </r>
  </si>
  <si>
    <t>Amphiprora sp.</t>
  </si>
  <si>
    <t xml:space="preserve">Amphora sp. </t>
  </si>
  <si>
    <t>Dinophysis acuta</t>
  </si>
  <si>
    <t>Favella sp</t>
  </si>
  <si>
    <t>Nocticula sp.</t>
  </si>
  <si>
    <t xml:space="preserve">Oscillatoria sp </t>
  </si>
  <si>
    <t>Total</t>
  </si>
  <si>
    <t xml:space="preserve">frequency </t>
  </si>
  <si>
    <r>
      <t xml:space="preserve">Entomoneis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</si>
  <si>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 xml:space="preserve">Gyrosigma </t>
    </r>
    <r>
      <rPr>
        <sz val="11"/>
        <color theme="1"/>
        <rFont val="Calibri"/>
        <family val="2"/>
        <scheme val="minor"/>
      </rPr>
      <t>spp.</t>
    </r>
  </si>
  <si>
    <r>
      <t xml:space="preserve">Heterocapsa </t>
    </r>
    <r>
      <rPr>
        <sz val="11"/>
        <color theme="1"/>
        <rFont val="Calibri"/>
        <family val="2"/>
        <scheme val="minor"/>
      </rPr>
      <t>spp.</t>
    </r>
  </si>
  <si>
    <r>
      <t xml:space="preserve">Gyrodinium </t>
    </r>
    <r>
      <rPr>
        <sz val="11"/>
        <color theme="1"/>
        <rFont val="Calibri"/>
        <family val="2"/>
        <scheme val="minor"/>
      </rPr>
      <t>spp.</t>
    </r>
  </si>
  <si>
    <r>
      <t xml:space="preserve">Eutreptiella </t>
    </r>
    <r>
      <rPr>
        <sz val="11"/>
        <color theme="1"/>
        <rFont val="Calibri"/>
        <family val="2"/>
        <scheme val="minor"/>
      </rPr>
      <t>spp.</t>
    </r>
  </si>
  <si>
    <r>
      <t xml:space="preserve">Leptocylindricus </t>
    </r>
    <r>
      <rPr>
        <sz val="11"/>
        <color theme="1"/>
        <rFont val="Calibri"/>
        <family val="2"/>
        <scheme val="minor"/>
      </rPr>
      <t>spp.</t>
    </r>
  </si>
  <si>
    <r>
      <t xml:space="preserve">Nocticula </t>
    </r>
    <r>
      <rPr>
        <sz val="11"/>
        <color theme="1"/>
        <rFont val="Calibri"/>
        <family val="2"/>
        <scheme val="minor"/>
      </rPr>
      <t>spp.</t>
    </r>
  </si>
  <si>
    <r>
      <t>Gonyaulax</t>
    </r>
    <r>
      <rPr>
        <sz val="11"/>
        <color theme="1"/>
        <rFont val="Calibri"/>
        <family val="2"/>
        <scheme val="minor"/>
      </rPr>
      <t xml:space="preserve"> spp.</t>
    </r>
  </si>
  <si>
    <r>
      <t>Mastogloia sp</t>
    </r>
    <r>
      <rPr>
        <sz val="11"/>
        <color theme="1"/>
        <rFont val="Calibri"/>
        <family val="2"/>
        <scheme val="minor"/>
      </rPr>
      <t>.</t>
    </r>
  </si>
  <si>
    <t>Flagilariopsis sp.</t>
  </si>
  <si>
    <t>Tropidoneis sp.</t>
  </si>
  <si>
    <r>
      <t xml:space="preserve">Protoceratium </t>
    </r>
    <r>
      <rPr>
        <sz val="11"/>
        <color theme="1"/>
        <rFont val="Calibri"/>
        <family val="2"/>
        <scheme val="minor"/>
      </rPr>
      <t>spp.</t>
    </r>
  </si>
  <si>
    <r>
      <t xml:space="preserve">Cocconeis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</si>
  <si>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Ulnaria </t>
    </r>
    <r>
      <rPr>
        <sz val="11"/>
        <color theme="1"/>
        <rFont val="Calibri"/>
        <family val="2"/>
        <scheme val="minor"/>
      </rPr>
      <t>spp.</t>
    </r>
  </si>
  <si>
    <t>Pseudo-nitzschia sp.</t>
  </si>
  <si>
    <r>
      <t xml:space="preserve">Protoperidinium </t>
    </r>
    <r>
      <rPr>
        <sz val="11"/>
        <color theme="1"/>
        <rFont val="Calibri"/>
        <family val="2"/>
        <scheme val="minor"/>
      </rPr>
      <t>spp.</t>
    </r>
  </si>
  <si>
    <r>
      <t xml:space="preserve">Cyanobacteria (unidentified) </t>
    </r>
    <r>
      <rPr>
        <i/>
        <sz val="11"/>
        <color theme="1"/>
        <rFont val="Calibri"/>
        <family val="2"/>
        <scheme val="minor"/>
      </rPr>
      <t>sp</t>
    </r>
    <r>
      <rPr>
        <sz val="11"/>
        <color theme="1"/>
        <rFont val="Calibri"/>
        <family val="2"/>
        <scheme val="minor"/>
      </rPr>
      <t>.</t>
    </r>
  </si>
  <si>
    <t>Zooplankton egg/naupli</t>
  </si>
  <si>
    <t xml:space="preserve">Odontella sp. </t>
  </si>
  <si>
    <t>Lingulodinium sp.</t>
  </si>
  <si>
    <t>Durinskia sp.</t>
  </si>
  <si>
    <t>Baccilaria sp.</t>
  </si>
  <si>
    <t>Dinophysis sp.</t>
  </si>
  <si>
    <t>Isthmia sp.</t>
  </si>
  <si>
    <t>Detonula sp.</t>
  </si>
  <si>
    <t>Gomphonella sp.</t>
  </si>
  <si>
    <r>
      <t>Eutintinnus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</si>
  <si>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 xml:space="preserve">Chaetoceros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</si>
  <si>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>Karenia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</si>
  <si>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Heterocapsa</t>
    </r>
    <r>
      <rPr>
        <sz val="11"/>
        <color theme="1"/>
        <rFont val="Calibri"/>
        <family val="2"/>
        <scheme val="minor"/>
      </rPr>
      <t xml:space="preserve"> spp.</t>
    </r>
  </si>
  <si>
    <t>Cylindrotheca spp.</t>
  </si>
  <si>
    <r>
      <rPr>
        <i/>
        <sz val="11"/>
        <color theme="1"/>
        <rFont val="Calibri"/>
        <family val="2"/>
        <scheme val="minor"/>
      </rPr>
      <t>Ostreopsi</t>
    </r>
    <r>
      <rPr>
        <sz val="11"/>
        <color theme="1"/>
        <rFont val="Calibri"/>
        <family val="2"/>
        <scheme val="minor"/>
      </rPr>
      <t>s spp.</t>
    </r>
  </si>
  <si>
    <r>
      <rPr>
        <i/>
        <sz val="11"/>
        <color theme="1"/>
        <rFont val="Calibri"/>
        <family val="2"/>
        <scheme val="minor"/>
      </rPr>
      <t xml:space="preserve">Eutreptiella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</si>
  <si>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>Scrippsiella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</si>
  <si>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 xml:space="preserve">Mastogloia </t>
    </r>
    <r>
      <rPr>
        <sz val="11"/>
        <color theme="1"/>
        <rFont val="Calibri"/>
        <family val="2"/>
        <scheme val="minor"/>
      </rPr>
      <t>spp</t>
    </r>
  </si>
  <si>
    <t>Feb. 2021</t>
  </si>
  <si>
    <t>Trachyneis sp.</t>
  </si>
  <si>
    <t>Cymatopleura sp.</t>
  </si>
  <si>
    <t>Amphidinium sp.</t>
  </si>
  <si>
    <t>Pleurosigma spp.</t>
  </si>
  <si>
    <t>Oxyrrhis sp.</t>
  </si>
  <si>
    <t>Zooplankton</t>
  </si>
  <si>
    <r>
      <t xml:space="preserve">Unidentified centric diatom </t>
    </r>
    <r>
      <rPr>
        <i/>
        <sz val="11"/>
        <color theme="1"/>
        <rFont val="Calibri"/>
        <family val="2"/>
        <scheme val="minor"/>
      </rPr>
      <t>sp.</t>
    </r>
  </si>
  <si>
    <t>Merismopedia sp.</t>
  </si>
  <si>
    <r>
      <t xml:space="preserve">Unidentified </t>
    </r>
    <r>
      <rPr>
        <i/>
        <sz val="11"/>
        <color theme="1"/>
        <rFont val="Calibri"/>
        <family val="2"/>
        <scheme val="minor"/>
      </rPr>
      <t>sp</t>
    </r>
    <r>
      <rPr>
        <sz val="11"/>
        <color theme="1"/>
        <rFont val="Calibri"/>
        <family val="2"/>
        <scheme val="minor"/>
      </rPr>
      <t xml:space="preserve">. </t>
    </r>
  </si>
  <si>
    <t>Dinophysis acuminata</t>
  </si>
  <si>
    <t xml:space="preserve">Taxon </t>
  </si>
  <si>
    <t>Diffirent occurrances</t>
  </si>
  <si>
    <t>Total freq</t>
  </si>
  <si>
    <r>
      <rPr>
        <i/>
        <sz val="11"/>
        <color theme="1"/>
        <rFont val="Calibri"/>
        <family val="2"/>
        <scheme val="minor"/>
      </rPr>
      <t>Gonyaulax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</si>
  <si>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Cylinclrotheca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</si>
  <si>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Amphora</t>
    </r>
    <r>
      <rPr>
        <sz val="11"/>
        <color theme="1"/>
        <rFont val="Calibri"/>
        <family val="2"/>
        <scheme val="minor"/>
      </rPr>
      <t xml:space="preserve"> sp. </t>
    </r>
  </si>
  <si>
    <r>
      <t xml:space="preserve">Unindentified (Cyanobacteria Cluster) </t>
    </r>
    <r>
      <rPr>
        <i/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</si>
  <si>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>Ulnaria spp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</si>
  <si>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Synedra</t>
    </r>
    <r>
      <rPr>
        <sz val="11"/>
        <color theme="1"/>
        <rFont val="Calibri"/>
        <family val="2"/>
        <scheme val="minor"/>
      </rPr>
      <t xml:space="preserve"> spp</t>
    </r>
  </si>
  <si>
    <r>
      <rPr>
        <i/>
        <sz val="11"/>
        <color theme="1"/>
        <rFont val="Calibri"/>
        <family val="2"/>
        <scheme val="minor"/>
      </rPr>
      <t>Guinardia sp.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</si>
  <si>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Prorocentrum </t>
    </r>
    <r>
      <rPr>
        <sz val="11"/>
        <color theme="1"/>
        <rFont val="Calibri"/>
        <family val="2"/>
        <scheme val="minor"/>
      </rPr>
      <t>spp</t>
    </r>
  </si>
  <si>
    <r>
      <rPr>
        <i/>
        <sz val="11"/>
        <color theme="1"/>
        <rFont val="Calibri"/>
        <family val="2"/>
        <scheme val="minor"/>
      </rPr>
      <t>Heterocapsa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</si>
  <si>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Coscinodiscus</t>
    </r>
    <r>
      <rPr>
        <sz val="11"/>
        <color theme="1"/>
        <rFont val="Calibri"/>
        <family val="2"/>
        <scheme val="minor"/>
      </rPr>
      <t xml:space="preserve"> spp. </t>
    </r>
  </si>
  <si>
    <r>
      <t xml:space="preserve">Pseudonitzschia </t>
    </r>
    <r>
      <rPr>
        <sz val="11"/>
        <color theme="1"/>
        <rFont val="Calibri"/>
        <family val="2"/>
        <scheme val="minor"/>
      </rPr>
      <t>spp.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</si>
  <si>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Protoceratium </t>
    </r>
    <r>
      <rPr>
        <sz val="11"/>
        <color theme="1"/>
        <rFont val="Calibri"/>
        <family val="2"/>
        <scheme val="minor"/>
      </rPr>
      <t>spp</t>
    </r>
  </si>
  <si>
    <t xml:space="preserve">Skeletonema sp. </t>
  </si>
  <si>
    <t>Pleurosigma sp.</t>
  </si>
  <si>
    <t>Pentapharsodinium spp.</t>
  </si>
  <si>
    <r>
      <rPr>
        <i/>
        <sz val="11"/>
        <color theme="1"/>
        <rFont val="Calibri"/>
        <family val="2"/>
        <scheme val="minor"/>
      </rPr>
      <t>Alexandrium sp.</t>
    </r>
    <r>
      <rPr>
        <sz val="11"/>
        <color theme="1"/>
        <rFont val="Calibri"/>
        <family val="2"/>
        <scheme val="minor"/>
      </rPr>
      <t xml:space="preserve"> </t>
    </r>
  </si>
  <si>
    <t xml:space="preserve">Trigonium sp. </t>
  </si>
  <si>
    <t>Thalassionema sp.</t>
  </si>
  <si>
    <t>Chroococcus sp.</t>
  </si>
  <si>
    <r>
      <rPr>
        <i/>
        <sz val="11"/>
        <color theme="1"/>
        <rFont val="Calibri"/>
        <family val="2"/>
        <scheme val="minor"/>
      </rPr>
      <t>Eutreptiella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</si>
  <si>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Gambierdiscus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</si>
  <si>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Chaetoceros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</si>
  <si>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Bacteriastrum sp.</t>
    </r>
    <r>
      <rPr>
        <sz val="11"/>
        <color theme="1"/>
        <rFont val="Calibri"/>
        <family val="2"/>
        <scheme val="minor"/>
      </rPr>
      <t xml:space="preserve"> </t>
    </r>
  </si>
  <si>
    <t xml:space="preserve">Amphidinium sp. </t>
  </si>
  <si>
    <t>Protoperidinum sp.</t>
  </si>
  <si>
    <t xml:space="preserve">Cocconeis sp. </t>
  </si>
  <si>
    <t xml:space="preserve">Unidentified (Dinoflagellate) </t>
  </si>
  <si>
    <r>
      <rPr>
        <i/>
        <sz val="11"/>
        <color theme="1"/>
        <rFont val="Calibri"/>
        <family val="2"/>
        <scheme val="minor"/>
      </rPr>
      <t>Ostreopsis sp.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</si>
  <si>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Asterionellopsis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</si>
  <si>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rPr>
        <i/>
        <sz val="11"/>
        <rFont val="Calibri"/>
        <family val="2"/>
        <scheme val="minor"/>
      </rPr>
      <t>Trachelomonas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 xml:space="preserve">sp. </t>
    </r>
  </si>
  <si>
    <r>
      <rPr>
        <i/>
        <sz val="11"/>
        <color theme="1"/>
        <rFont val="Calibri"/>
        <family val="2"/>
        <scheme val="minor"/>
      </rPr>
      <t>Dinophysis</t>
    </r>
    <r>
      <rPr>
        <sz val="11"/>
        <color theme="1"/>
        <rFont val="Calibri"/>
        <family val="2"/>
        <scheme val="minor"/>
      </rPr>
      <t xml:space="preserve"> acuminata </t>
    </r>
  </si>
  <si>
    <t>Euglena sp</t>
  </si>
  <si>
    <r>
      <rPr>
        <i/>
        <sz val="11"/>
        <color theme="1"/>
        <rFont val="Calibri"/>
        <family val="2"/>
        <scheme val="minor"/>
      </rPr>
      <t xml:space="preserve">Odontella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 xml:space="preserve">. </t>
    </r>
  </si>
  <si>
    <r>
      <rPr>
        <i/>
        <sz val="11"/>
        <color theme="1"/>
        <rFont val="Calibri"/>
        <family val="2"/>
        <scheme val="minor"/>
      </rPr>
      <t>Strombidinium</t>
    </r>
    <r>
      <rPr>
        <sz val="11"/>
        <color theme="1"/>
        <rFont val="Calibri"/>
        <family val="2"/>
        <scheme val="minor"/>
      </rPr>
      <t xml:space="preserve"> spp.</t>
    </r>
  </si>
  <si>
    <t xml:space="preserve">Bacillaria sp. </t>
  </si>
  <si>
    <t>Tintinnopsis sp.</t>
  </si>
  <si>
    <r>
      <rPr>
        <i/>
        <sz val="11"/>
        <color theme="1"/>
        <rFont val="Calibri"/>
        <family val="2"/>
        <scheme val="minor"/>
      </rPr>
      <t>Grammatophora sp.</t>
    </r>
    <r>
      <rPr>
        <sz val="11"/>
        <color theme="1"/>
        <rFont val="Calibri"/>
        <family val="2"/>
        <scheme val="minor"/>
      </rPr>
      <t xml:space="preserve"> </t>
    </r>
  </si>
  <si>
    <t>November, 2020</t>
  </si>
  <si>
    <t>%Freq</t>
  </si>
  <si>
    <t>Codonellopsis sp.</t>
  </si>
  <si>
    <t>unidentified ciliate</t>
  </si>
  <si>
    <r>
      <rPr>
        <i/>
        <sz val="11"/>
        <color theme="1"/>
        <rFont val="Calibri"/>
        <family val="2"/>
        <scheme val="minor"/>
      </rPr>
      <t>Gyrodinium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</si>
  <si>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Dunaliella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</si>
  <si>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Ceratium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</si>
  <si>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Synedra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</si>
  <si>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Denticula s</t>
    </r>
    <r>
      <rPr>
        <sz val="11"/>
        <color theme="1"/>
        <rFont val="Calibri"/>
        <family val="2"/>
        <scheme val="minor"/>
      </rPr>
      <t>p.</t>
    </r>
  </si>
  <si>
    <t>Steenstrupiella sp.</t>
  </si>
  <si>
    <r>
      <rPr>
        <i/>
        <sz val="11"/>
        <color theme="1"/>
        <rFont val="Calibri"/>
        <family val="2"/>
        <scheme val="minor"/>
      </rPr>
      <t>Glenodinium sp</t>
    </r>
    <r>
      <rPr>
        <sz val="11"/>
        <color theme="1"/>
        <rFont val="Calibri"/>
        <family val="2"/>
        <scheme val="minor"/>
      </rPr>
      <t xml:space="preserve">. </t>
    </r>
  </si>
  <si>
    <r>
      <rPr>
        <i/>
        <sz val="11"/>
        <color theme="1"/>
        <rFont val="Calibri"/>
        <family val="2"/>
        <scheme val="minor"/>
      </rPr>
      <t>Haslea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</si>
  <si>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Plankthorix sp</t>
    </r>
    <r>
      <rPr>
        <sz val="11"/>
        <color theme="1"/>
        <rFont val="Calibri"/>
        <family val="2"/>
        <scheme val="minor"/>
      </rPr>
      <t>.</t>
    </r>
  </si>
  <si>
    <t>Unidentified cyanobacteria sp.</t>
  </si>
  <si>
    <r>
      <rPr>
        <i/>
        <sz val="11"/>
        <color theme="1"/>
        <rFont val="Calibri"/>
        <family val="2"/>
        <scheme val="minor"/>
      </rPr>
      <t>Bacillaria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</si>
  <si>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Cymbella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</si>
  <si>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Gonyaulax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</si>
  <si>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Pentapharsodinium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</si>
  <si>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Diploneis sp</t>
    </r>
    <r>
      <rPr>
        <sz val="11"/>
        <color theme="1"/>
        <rFont val="Calibri"/>
        <family val="2"/>
        <scheme val="minor"/>
      </rPr>
      <t>.</t>
    </r>
  </si>
  <si>
    <t>Pseudonitzschia sp.</t>
  </si>
  <si>
    <r>
      <rPr>
        <i/>
        <sz val="11"/>
        <color theme="1"/>
        <rFont val="Calibri"/>
        <family val="2"/>
        <scheme val="minor"/>
      </rPr>
      <t>Protoperidinium</t>
    </r>
    <r>
      <rPr>
        <sz val="11"/>
        <color theme="1"/>
        <rFont val="Calibri"/>
        <family val="2"/>
        <scheme val="minor"/>
      </rPr>
      <t xml:space="preserve"> spp</t>
    </r>
  </si>
  <si>
    <r>
      <rPr>
        <i/>
        <sz val="11"/>
        <color theme="1"/>
        <rFont val="Calibri"/>
        <family val="2"/>
        <scheme val="minor"/>
      </rPr>
      <t>Nocticula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</si>
  <si>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Pinnularia sp</t>
    </r>
    <r>
      <rPr>
        <sz val="11"/>
        <color theme="1"/>
        <rFont val="Calibri"/>
        <family val="2"/>
        <scheme val="minor"/>
      </rPr>
      <t>.</t>
    </r>
  </si>
  <si>
    <t>Meuniera sp.</t>
  </si>
  <si>
    <t>Grammatophora sp</t>
  </si>
  <si>
    <t>Guinardia sp.</t>
  </si>
  <si>
    <t>Thalassiosira sp.</t>
  </si>
  <si>
    <r>
      <rPr>
        <i/>
        <sz val="11"/>
        <color theme="1"/>
        <rFont val="Calibri"/>
        <family val="2"/>
        <scheme val="minor"/>
      </rPr>
      <t xml:space="preserve">Thalassiosira </t>
    </r>
    <r>
      <rPr>
        <sz val="11"/>
        <color theme="1"/>
        <rFont val="Calibri"/>
        <family val="2"/>
        <scheme val="minor"/>
      </rPr>
      <t>spp.</t>
    </r>
  </si>
  <si>
    <t>Durinskia</t>
  </si>
  <si>
    <t>Alexandrium sp.</t>
  </si>
  <si>
    <t>Tintinnopsis</t>
  </si>
  <si>
    <t>Freq.</t>
  </si>
  <si>
    <t>Unidentified tintinid</t>
  </si>
  <si>
    <t>Epigloespahaera sp.</t>
  </si>
  <si>
    <t>Fish egg/larvae</t>
  </si>
  <si>
    <t>Ulnaria sp.</t>
  </si>
  <si>
    <t>Dinophysis caudata</t>
  </si>
  <si>
    <t>Dictyocha sp.</t>
  </si>
  <si>
    <t>Eutintinnus sp.</t>
  </si>
  <si>
    <t>Amphorellopsis sp</t>
  </si>
  <si>
    <r>
      <rPr>
        <i/>
        <sz val="11"/>
        <color theme="1"/>
        <rFont val="Calibri"/>
        <family val="2"/>
        <scheme val="minor"/>
      </rPr>
      <t>Surirella</t>
    </r>
    <r>
      <rPr>
        <sz val="11"/>
        <color theme="1"/>
        <rFont val="Calibri"/>
        <family val="2"/>
        <scheme val="minor"/>
      </rPr>
      <t xml:space="preserve"> spp</t>
    </r>
  </si>
  <si>
    <t>Tintinnopsis sp</t>
  </si>
  <si>
    <t>Durinskia sp</t>
  </si>
  <si>
    <r>
      <rPr>
        <i/>
        <sz val="11"/>
        <color theme="1"/>
        <rFont val="Calibri"/>
        <family val="2"/>
        <scheme val="minor"/>
      </rPr>
      <t>Detonula sp</t>
    </r>
    <r>
      <rPr>
        <sz val="11"/>
        <color theme="1"/>
        <rFont val="Calibri"/>
        <family val="2"/>
        <scheme val="minor"/>
      </rPr>
      <t>.</t>
    </r>
  </si>
  <si>
    <t>Unidentified cyanobacteria spp.</t>
  </si>
  <si>
    <t>Mastogloia sp</t>
  </si>
  <si>
    <t>Oxyrrhis sp</t>
  </si>
  <si>
    <t>March, 2021</t>
  </si>
  <si>
    <t>Ostreopsis sp</t>
  </si>
  <si>
    <t>Occurences</t>
  </si>
  <si>
    <t>% Freq</t>
  </si>
  <si>
    <t xml:space="preserve"> Freq</t>
  </si>
  <si>
    <t>April, 2021</t>
  </si>
  <si>
    <t>Feb., 2021</t>
  </si>
  <si>
    <r>
      <t xml:space="preserve">Thalassiosira </t>
    </r>
    <r>
      <rPr>
        <sz val="11"/>
        <color theme="1"/>
        <rFont val="Calibri"/>
        <family val="2"/>
        <scheme val="minor"/>
      </rPr>
      <t>spp.</t>
    </r>
  </si>
  <si>
    <t>Gyrodinium sp.</t>
  </si>
  <si>
    <t>Eutreptiella sp.</t>
  </si>
  <si>
    <t xml:space="preserve">Alexandrium spp. </t>
  </si>
  <si>
    <t>Unidentified cilliate</t>
  </si>
  <si>
    <t>Unidentified centric diatom</t>
  </si>
  <si>
    <t>Occurrence</t>
  </si>
  <si>
    <t>Chaetoceros sp.</t>
  </si>
  <si>
    <t>Rhizosolenia sp.</t>
  </si>
  <si>
    <r>
      <rPr>
        <i/>
        <sz val="11"/>
        <color theme="1"/>
        <rFont val="Calibri"/>
        <family val="2"/>
        <scheme val="minor"/>
      </rPr>
      <t>Achanthes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</si>
  <si>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Cocconeis</t>
    </r>
    <r>
      <rPr>
        <sz val="11"/>
        <color theme="1"/>
        <rFont val="Calibri"/>
        <family val="2"/>
        <scheme val="minor"/>
      </rPr>
      <t xml:space="preserve"> spp</t>
    </r>
  </si>
  <si>
    <r>
      <rPr>
        <i/>
        <sz val="11"/>
        <color theme="1"/>
        <rFont val="Calibri"/>
        <family val="2"/>
        <scheme val="minor"/>
      </rPr>
      <t xml:space="preserve">Guinardia </t>
    </r>
    <r>
      <rPr>
        <sz val="11"/>
        <color theme="1"/>
        <rFont val="Calibri"/>
        <family val="2"/>
        <scheme val="minor"/>
      </rPr>
      <t>spp.</t>
    </r>
  </si>
  <si>
    <t>Lithodesmium sp.</t>
  </si>
  <si>
    <t>Leprotintinnus sp.</t>
  </si>
  <si>
    <t xml:space="preserve">Palaria sp. </t>
  </si>
  <si>
    <t>Grammatophora sp.</t>
  </si>
  <si>
    <t>Stauroneis sp.</t>
  </si>
  <si>
    <t>Lyrella sp.</t>
  </si>
  <si>
    <r>
      <rPr>
        <i/>
        <sz val="11"/>
        <color theme="1"/>
        <rFont val="Calibri"/>
        <family val="2"/>
        <scheme val="minor"/>
      </rPr>
      <t>Karenia</t>
    </r>
    <r>
      <rPr>
        <sz val="11"/>
        <color theme="1"/>
        <rFont val="Calibri"/>
        <family val="2"/>
        <scheme val="minor"/>
      </rPr>
      <t xml:space="preserve"> spp</t>
    </r>
  </si>
  <si>
    <r>
      <rPr>
        <i/>
        <sz val="11"/>
        <color theme="1"/>
        <rFont val="Calibri"/>
        <family val="2"/>
        <scheme val="minor"/>
      </rPr>
      <t>Leptocylindricus</t>
    </r>
    <r>
      <rPr>
        <sz val="11"/>
        <color theme="1"/>
        <rFont val="Calibri"/>
        <family val="2"/>
        <scheme val="minor"/>
      </rPr>
      <t xml:space="preserve"> sp</t>
    </r>
  </si>
  <si>
    <r>
      <rPr>
        <i/>
        <sz val="11"/>
        <color theme="1"/>
        <rFont val="Calibri"/>
        <family val="2"/>
        <scheme val="minor"/>
      </rPr>
      <t>Oscillatoria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</si>
  <si>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Eutreptiella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</si>
  <si>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Metacylis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</si>
  <si>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Peridionopsis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</si>
  <si>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Odontella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</si>
  <si>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Merismopedia sp</t>
    </r>
    <r>
      <rPr>
        <sz val="11"/>
        <color theme="1"/>
        <rFont val="Calibri"/>
        <family val="2"/>
        <scheme val="minor"/>
      </rPr>
      <t>.</t>
    </r>
  </si>
  <si>
    <t>Ebria sp.</t>
  </si>
  <si>
    <t>Trichodesmium sp</t>
  </si>
  <si>
    <r>
      <rPr>
        <i/>
        <sz val="11"/>
        <color theme="1"/>
        <rFont val="Calibri"/>
        <family val="2"/>
        <scheme val="minor"/>
      </rPr>
      <t>Licmophora sp</t>
    </r>
    <r>
      <rPr>
        <sz val="11"/>
        <color theme="1"/>
        <rFont val="Calibri"/>
        <family val="2"/>
        <scheme val="minor"/>
      </rPr>
      <t>.</t>
    </r>
  </si>
  <si>
    <t>Dia</t>
  </si>
  <si>
    <t>Din.</t>
  </si>
  <si>
    <t>Cya</t>
  </si>
  <si>
    <t>Others</t>
  </si>
  <si>
    <t>%freq.</t>
  </si>
  <si>
    <t>pi</t>
  </si>
  <si>
    <t>Euglena</t>
  </si>
  <si>
    <t>In pi</t>
  </si>
  <si>
    <t>pi ^2</t>
  </si>
  <si>
    <t>pi*Inpi</t>
  </si>
  <si>
    <t>Unidentified diatom</t>
  </si>
  <si>
    <r>
      <rPr>
        <i/>
        <sz val="11"/>
        <color theme="1"/>
        <rFont val="Calibri"/>
        <family val="2"/>
        <scheme val="minor"/>
      </rPr>
      <t xml:space="preserve">Nitzschia </t>
    </r>
    <r>
      <rPr>
        <sz val="11"/>
        <color theme="1"/>
        <rFont val="Calibri"/>
        <family val="2"/>
        <scheme val="minor"/>
      </rPr>
      <t>spp</t>
    </r>
  </si>
  <si>
    <t>Din</t>
  </si>
  <si>
    <t>Euglenoid</t>
  </si>
  <si>
    <t>pi^2</t>
  </si>
  <si>
    <t>Inpi</t>
  </si>
  <si>
    <t>Euglenoids</t>
  </si>
  <si>
    <t>Chlorophytes</t>
  </si>
  <si>
    <t>Eug</t>
  </si>
  <si>
    <t>Chlo</t>
  </si>
  <si>
    <t>Coscinodiscus sp</t>
  </si>
  <si>
    <t>Unidenfied ciliate</t>
  </si>
  <si>
    <t>Fish egg</t>
  </si>
  <si>
    <t>Chl</t>
  </si>
  <si>
    <r>
      <rPr>
        <i/>
        <sz val="11"/>
        <color theme="1"/>
        <rFont val="Calibri"/>
        <family val="2"/>
        <scheme val="minor"/>
      </rPr>
      <t>Karenia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spp.</t>
    </r>
  </si>
  <si>
    <t>Ostreopsis sp.</t>
  </si>
  <si>
    <r>
      <rPr>
        <i/>
        <sz val="11"/>
        <color theme="1"/>
        <rFont val="Calibri"/>
        <family val="2"/>
        <scheme val="minor"/>
      </rPr>
      <t>Johannesbaptista sp</t>
    </r>
    <r>
      <rPr>
        <sz val="11"/>
        <color theme="1"/>
        <rFont val="Calibri"/>
        <family val="2"/>
        <scheme val="minor"/>
      </rPr>
      <t>.</t>
    </r>
  </si>
  <si>
    <r>
      <t xml:space="preserve">Peridiniopsis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</si>
  <si>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t>Denticula sp.</t>
  </si>
  <si>
    <t>Achanthes sp.</t>
  </si>
  <si>
    <r>
      <rPr>
        <i/>
        <sz val="11"/>
        <color theme="1"/>
        <rFont val="Calibri"/>
        <family val="2"/>
        <scheme val="minor"/>
      </rPr>
      <t>Lauderia sp</t>
    </r>
    <r>
      <rPr>
        <sz val="11"/>
        <color theme="1"/>
        <rFont val="Calibri"/>
        <family val="2"/>
        <scheme val="minor"/>
      </rPr>
      <t>.</t>
    </r>
  </si>
  <si>
    <t>Hemiaulus sp.</t>
  </si>
  <si>
    <t>Staurosira sp.</t>
  </si>
  <si>
    <t>Oscillatoria sp</t>
  </si>
  <si>
    <t>Month</t>
  </si>
  <si>
    <t>Benya</t>
  </si>
  <si>
    <t>S.d</t>
  </si>
  <si>
    <t>Narkwa</t>
  </si>
  <si>
    <t>H'</t>
  </si>
  <si>
    <t>Temperature</t>
  </si>
  <si>
    <t>Salinity</t>
  </si>
  <si>
    <t>DO</t>
  </si>
  <si>
    <t>pH</t>
  </si>
  <si>
    <t>Turbidity</t>
  </si>
  <si>
    <t>%freq</t>
  </si>
  <si>
    <t>Chl a</t>
  </si>
  <si>
    <t>Amphidinium spp.</t>
  </si>
  <si>
    <t>Gymnodinium spp.</t>
  </si>
  <si>
    <r>
      <rPr>
        <i/>
        <sz val="11"/>
        <color theme="1"/>
        <rFont val="Calibri"/>
        <family val="2"/>
        <scheme val="minor"/>
      </rPr>
      <t>Merismopedia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</si>
  <si>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Ebria </t>
    </r>
    <r>
      <rPr>
        <sz val="11"/>
        <color theme="1"/>
        <rFont val="Calibri"/>
        <family val="2"/>
        <scheme val="minor"/>
      </rPr>
      <t>spp.</t>
    </r>
  </si>
  <si>
    <r>
      <rPr>
        <i/>
        <sz val="12"/>
        <color rgb="FF000000"/>
        <rFont val="Calibri"/>
        <family val="2"/>
        <scheme val="minor"/>
      </rPr>
      <t>Prorocentrum</t>
    </r>
    <r>
      <rPr>
        <sz val="12"/>
        <color rgb="FF000000"/>
        <rFont val="Calibri"/>
        <family val="2"/>
        <scheme val="minor"/>
      </rPr>
      <t xml:space="preserve"> spp.</t>
    </r>
  </si>
  <si>
    <t>Nitzschia spp.</t>
  </si>
  <si>
    <t>Thalassiosira spp.</t>
  </si>
  <si>
    <t xml:space="preserve">Scrippsiella spp. </t>
  </si>
  <si>
    <t>Amphora spp.</t>
  </si>
  <si>
    <t>Gyrosigma spp.</t>
  </si>
  <si>
    <t>Navicula spp.</t>
  </si>
  <si>
    <t>Entomoneis spp.</t>
  </si>
  <si>
    <t>Prorocentrum spp.</t>
  </si>
  <si>
    <t>Dunaliella sp.</t>
  </si>
  <si>
    <t>Ceratium spp.</t>
  </si>
  <si>
    <t>Protoperidinium spp</t>
  </si>
  <si>
    <t>Diploneis sp.</t>
  </si>
  <si>
    <t>Surirella spp</t>
  </si>
  <si>
    <t>Cocconeis spp</t>
  </si>
  <si>
    <t>Karenia spp</t>
  </si>
  <si>
    <t>Leptocylindricus sp</t>
  </si>
  <si>
    <t>Oscillatoria sp.</t>
  </si>
  <si>
    <t>Metacylis sp.</t>
  </si>
  <si>
    <t>May, 2021</t>
  </si>
  <si>
    <t>June, 2021</t>
  </si>
  <si>
    <t>Astereonellopsis sp</t>
  </si>
  <si>
    <t>Haslea sp.</t>
  </si>
  <si>
    <t>Zooplankton/nauplii</t>
  </si>
  <si>
    <t>Johanesbaptista sp</t>
  </si>
  <si>
    <t>Codenellopsis sp</t>
  </si>
  <si>
    <t>Occurance</t>
  </si>
  <si>
    <t>Freq</t>
  </si>
  <si>
    <t>July, 2021</t>
  </si>
  <si>
    <t>Periodiniopsis sp</t>
  </si>
  <si>
    <t>Rhizosolenia sp</t>
  </si>
  <si>
    <t>Dinophysis sp</t>
  </si>
  <si>
    <t>Pentaphasordinium sp</t>
  </si>
  <si>
    <t>Cymatopleaura sp</t>
  </si>
  <si>
    <t>Leegaardiella sp</t>
  </si>
  <si>
    <t>Strombidinopsis sp</t>
  </si>
  <si>
    <t>Amphidinium sp</t>
  </si>
  <si>
    <t>Strombidium sp</t>
  </si>
  <si>
    <t>Gonaulyx sp</t>
  </si>
  <si>
    <t>August, 2021</t>
  </si>
  <si>
    <t>Odontella spp</t>
  </si>
  <si>
    <t>Lingulodinium sp</t>
  </si>
  <si>
    <t>Triceratium sp</t>
  </si>
  <si>
    <t>Coscinodiscus spp</t>
  </si>
  <si>
    <t>Lithodesmium sp</t>
  </si>
  <si>
    <t>Gyrodinium sp</t>
  </si>
  <si>
    <t>Dinophysis spp</t>
  </si>
  <si>
    <t>Cymbella spp.</t>
  </si>
  <si>
    <t>Hemiaulus sp</t>
  </si>
  <si>
    <t>Fertilized oyster egg/larvae</t>
  </si>
  <si>
    <t xml:space="preserve">Dinophysis caudata </t>
  </si>
  <si>
    <t>Euglena sp.</t>
  </si>
  <si>
    <r>
      <rPr>
        <i/>
        <sz val="11"/>
        <color theme="1"/>
        <rFont val="Calibri"/>
        <family val="2"/>
        <scheme val="minor"/>
      </rPr>
      <t>Palaria sp</t>
    </r>
    <r>
      <rPr>
        <sz val="11"/>
        <color theme="1"/>
        <rFont val="Calibri"/>
        <family val="2"/>
        <scheme val="minor"/>
      </rPr>
      <t>.</t>
    </r>
  </si>
  <si>
    <t>Pi</t>
  </si>
  <si>
    <r>
      <rPr>
        <i/>
        <sz val="11"/>
        <color rgb="FF000000"/>
        <rFont val="Calibri"/>
        <family val="2"/>
        <scheme val="minor"/>
      </rPr>
      <t xml:space="preserve">Rhizosolenia </t>
    </r>
    <r>
      <rPr>
        <sz val="11"/>
        <color rgb="FF000000"/>
        <rFont val="Calibri"/>
        <family val="2"/>
        <scheme val="minor"/>
      </rPr>
      <t xml:space="preserve">spp. </t>
    </r>
  </si>
  <si>
    <r>
      <rPr>
        <i/>
        <sz val="11"/>
        <color theme="1"/>
        <rFont val="Calibri"/>
        <family val="2"/>
        <scheme val="minor"/>
      </rPr>
      <t xml:space="preserve">Odontella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</si>
  <si>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Amphiprora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</si>
  <si>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t xml:space="preserve">Amphora </t>
    </r>
    <r>
      <rPr>
        <sz val="11"/>
        <color theme="1"/>
        <rFont val="Calibri"/>
        <family val="2"/>
        <scheme val="minor"/>
      </rPr>
      <t>spp.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</si>
  <si>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Cynlindrotheca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</si>
  <si>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t>Gyrodinium</t>
    </r>
    <r>
      <rPr>
        <sz val="11"/>
        <color theme="1"/>
        <rFont val="Calibri"/>
        <family val="2"/>
        <scheme val="minor"/>
      </rPr>
      <t xml:space="preserve"> spp</t>
    </r>
    <r>
      <rPr>
        <i/>
        <sz val="11"/>
        <color theme="1"/>
        <rFont val="Calibri"/>
        <family val="2"/>
        <scheme val="minor"/>
      </rPr>
      <t>.</t>
    </r>
  </si>
  <si>
    <r>
      <t xml:space="preserve">Thalassionema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 xml:space="preserve">. </t>
    </r>
  </si>
  <si>
    <r>
      <t xml:space="preserve">Cymbella </t>
    </r>
    <r>
      <rPr>
        <sz val="11"/>
        <color theme="1"/>
        <rFont val="Calibri"/>
        <family val="2"/>
        <scheme val="minor"/>
      </rPr>
      <t>spp.</t>
    </r>
  </si>
  <si>
    <r>
      <t xml:space="preserve">Thalassiothrix 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</si>
  <si>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t>Aulacoseira sp.</t>
  </si>
  <si>
    <r>
      <t>Guinardia 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</si>
  <si>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t>Thalassionema</t>
    </r>
    <r>
      <rPr>
        <sz val="11"/>
        <color theme="1"/>
        <rFont val="Calibri"/>
        <family val="2"/>
        <scheme val="minor"/>
      </rPr>
      <t xml:space="preserve"> spp. </t>
    </r>
  </si>
  <si>
    <r>
      <t xml:space="preserve">Synedra </t>
    </r>
    <r>
      <rPr>
        <sz val="11"/>
        <color theme="1"/>
        <rFont val="Calibri"/>
        <family val="2"/>
        <scheme val="minor"/>
      </rPr>
      <t>spp.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</si>
  <si>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Scrippsiella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trichoidea</t>
    </r>
  </si>
  <si>
    <r>
      <rPr>
        <i/>
        <sz val="11"/>
        <color theme="1"/>
        <rFont val="Calibri"/>
        <family val="2"/>
        <scheme val="minor"/>
      </rPr>
      <t>Cylincdrotheca</t>
    </r>
    <r>
      <rPr>
        <sz val="11"/>
        <color theme="1"/>
        <rFont val="Calibri"/>
        <family val="2"/>
        <scheme val="minor"/>
      </rPr>
      <t xml:space="preserve"> spp. </t>
    </r>
  </si>
  <si>
    <r>
      <t xml:space="preserve">Merismopedia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</si>
  <si>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 xml:space="preserve">Ulnaria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</si>
  <si>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 xml:space="preserve">Guinardia </t>
    </r>
    <r>
      <rPr>
        <sz val="11"/>
        <color theme="1"/>
        <rFont val="Calibri"/>
        <family val="2"/>
        <scheme val="minor"/>
      </rPr>
      <t xml:space="preserve">spp. </t>
    </r>
  </si>
  <si>
    <r>
      <rPr>
        <i/>
        <sz val="11"/>
        <color theme="1"/>
        <rFont val="Calibri"/>
        <family val="2"/>
        <scheme val="minor"/>
      </rPr>
      <t xml:space="preserve">Prorocentrum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</si>
  <si>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>Dinophysis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acuminata </t>
    </r>
  </si>
  <si>
    <t xml:space="preserve">Cocconeis spp. </t>
  </si>
  <si>
    <r>
      <t xml:space="preserve">Protoperidinum </t>
    </r>
    <r>
      <rPr>
        <sz val="11"/>
        <color theme="1"/>
        <rFont val="Calibri"/>
        <family val="2"/>
        <scheme val="minor"/>
      </rPr>
      <t>spp.</t>
    </r>
  </si>
  <si>
    <r>
      <t xml:space="preserve">Gyrosigma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</si>
  <si>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Pentapharsodinium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</si>
  <si>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 xml:space="preserve">Protoceratium </t>
    </r>
    <r>
      <rPr>
        <sz val="11"/>
        <color theme="1"/>
        <rFont val="Calibri"/>
        <family val="2"/>
        <scheme val="minor"/>
      </rPr>
      <t>spp.</t>
    </r>
  </si>
  <si>
    <r>
      <t xml:space="preserve">Entomoneis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</si>
  <si>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Peridinium </t>
    </r>
    <r>
      <rPr>
        <sz val="11"/>
        <color theme="1"/>
        <rFont val="Calibri"/>
        <family val="2"/>
        <scheme val="minor"/>
      </rPr>
      <t>spp.</t>
    </r>
  </si>
  <si>
    <r>
      <t xml:space="preserve">Prorocentrum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</si>
  <si>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Coscinodiscus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</si>
  <si>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Gyrodinium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</si>
  <si>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Guinardia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</si>
  <si>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Oxyrrhis </t>
    </r>
    <r>
      <rPr>
        <sz val="11"/>
        <color theme="1"/>
        <rFont val="Calibri"/>
        <family val="2"/>
        <scheme val="minor"/>
      </rPr>
      <t>spp.</t>
    </r>
  </si>
  <si>
    <r>
      <t xml:space="preserve">Chaetoceros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</si>
  <si>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Surirella </t>
    </r>
    <r>
      <rPr>
        <sz val="11"/>
        <color theme="1"/>
        <rFont val="Calibri"/>
        <family val="2"/>
        <scheme val="minor"/>
      </rPr>
      <t>spp.</t>
    </r>
  </si>
  <si>
    <r>
      <t>Leptolynbya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sp. </t>
    </r>
  </si>
  <si>
    <r>
      <t>Tintinnopsis sp</t>
    </r>
    <r>
      <rPr>
        <sz val="11"/>
        <color theme="1"/>
        <rFont val="Calibri"/>
        <family val="2"/>
        <scheme val="minor"/>
      </rPr>
      <t>.</t>
    </r>
  </si>
  <si>
    <r>
      <t>Asterionellopsis sp.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</si>
  <si>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Gymnodinium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</si>
  <si>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Dunalliella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</si>
  <si>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Cocconeis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</si>
  <si>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t>Dactyliosolen sp.</t>
  </si>
  <si>
    <t xml:space="preserve">Microcoleus sp. </t>
  </si>
  <si>
    <t>Johannesbaptistia sp.</t>
  </si>
  <si>
    <r>
      <t>Chroococcus sp</t>
    </r>
    <r>
      <rPr>
        <sz val="11"/>
        <color theme="1"/>
        <rFont val="Calibri"/>
        <family val="2"/>
        <scheme val="minor"/>
      </rPr>
      <t>.</t>
    </r>
  </si>
  <si>
    <r>
      <t>Diploneis sp</t>
    </r>
    <r>
      <rPr>
        <sz val="11"/>
        <color theme="1"/>
        <rFont val="Calibri"/>
        <family val="2"/>
        <scheme val="minor"/>
      </rPr>
      <t>.</t>
    </r>
  </si>
  <si>
    <r>
      <t>Halosphaera sp</t>
    </r>
    <r>
      <rPr>
        <sz val="11"/>
        <color theme="1"/>
        <rFont val="Calibri"/>
        <family val="2"/>
        <scheme val="minor"/>
      </rPr>
      <t>.</t>
    </r>
  </si>
  <si>
    <r>
      <t>Tintinnopsis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</t>
    </r>
    <r>
      <rPr>
        <sz val="11"/>
        <color theme="1"/>
        <rFont val="Calibri"/>
        <family val="2"/>
        <scheme val="minor"/>
      </rPr>
      <t>.</t>
    </r>
  </si>
  <si>
    <r>
      <t>Leprotintinnus</t>
    </r>
    <r>
      <rPr>
        <sz val="11"/>
        <color theme="1"/>
        <rFont val="Calibri"/>
        <family val="2"/>
        <scheme val="minor"/>
      </rPr>
      <t xml:space="preserve"> spp.</t>
    </r>
  </si>
  <si>
    <t>Bacteriastrum sp.</t>
  </si>
  <si>
    <r>
      <t xml:space="preserve">Heterosigma </t>
    </r>
    <r>
      <rPr>
        <sz val="11"/>
        <color theme="1"/>
        <rFont val="Calibri"/>
        <family val="2"/>
        <scheme val="minor"/>
      </rPr>
      <t>spp.</t>
    </r>
  </si>
  <si>
    <t>Pseudanabaena sp.</t>
  </si>
  <si>
    <r>
      <t xml:space="preserve">Ceratium </t>
    </r>
    <r>
      <rPr>
        <sz val="11"/>
        <color theme="1"/>
        <rFont val="Calibri"/>
        <family val="2"/>
        <scheme val="minor"/>
      </rPr>
      <t>spp.</t>
    </r>
  </si>
  <si>
    <t>Ditylum sp.</t>
  </si>
  <si>
    <r>
      <rPr>
        <i/>
        <sz val="11"/>
        <color theme="1"/>
        <rFont val="Calibri"/>
        <family val="2"/>
        <scheme val="minor"/>
      </rPr>
      <t xml:space="preserve">Pseudonitzschia </t>
    </r>
    <r>
      <rPr>
        <sz val="11"/>
        <color theme="1"/>
        <rFont val="Calibri"/>
        <family val="2"/>
        <scheme val="minor"/>
      </rPr>
      <t>spp.</t>
    </r>
  </si>
  <si>
    <t>Leptolyngbya sp.</t>
  </si>
  <si>
    <r>
      <t xml:space="preserve">Synedra </t>
    </r>
    <r>
      <rPr>
        <sz val="11"/>
        <color theme="1"/>
        <rFont val="Calibri"/>
        <family val="2"/>
        <scheme val="minor"/>
      </rPr>
      <t>spp.</t>
    </r>
  </si>
  <si>
    <r>
      <t xml:space="preserve">Diploneis </t>
    </r>
    <r>
      <rPr>
        <sz val="11"/>
        <color theme="1"/>
        <rFont val="Calibri"/>
        <family val="2"/>
        <scheme val="minor"/>
      </rPr>
      <t>spp.</t>
    </r>
  </si>
  <si>
    <t>Pentapharsodinium sp.</t>
  </si>
  <si>
    <r>
      <t>Leptocylindricus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</si>
  <si>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Odontella </t>
    </r>
    <r>
      <rPr>
        <sz val="11"/>
        <color theme="1"/>
        <rFont val="Calibri"/>
        <family val="2"/>
        <scheme val="minor"/>
      </rPr>
      <t>spp.</t>
    </r>
  </si>
  <si>
    <r>
      <t xml:space="preserve">Trachyneis </t>
    </r>
    <r>
      <rPr>
        <sz val="11"/>
        <color theme="1"/>
        <rFont val="Calibri"/>
        <family val="2"/>
        <scheme val="minor"/>
      </rPr>
      <t>spp.</t>
    </r>
  </si>
  <si>
    <t>Dinophysis caudatum</t>
  </si>
  <si>
    <r>
      <t>Merismopedia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</si>
  <si>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Eutreptella </t>
    </r>
    <r>
      <rPr>
        <sz val="11"/>
        <color theme="1"/>
        <rFont val="Calibri"/>
        <family val="2"/>
        <scheme val="minor"/>
      </rPr>
      <t>spp.</t>
    </r>
  </si>
  <si>
    <t xml:space="preserve">Rhoicosphenia sp. </t>
  </si>
  <si>
    <t>Nostoc sp.</t>
  </si>
  <si>
    <r>
      <t xml:space="preserve">Dunaliella </t>
    </r>
    <r>
      <rPr>
        <sz val="11"/>
        <color theme="1"/>
        <rFont val="Calibri"/>
        <family val="2"/>
        <scheme val="minor"/>
      </rPr>
      <t>spp.</t>
    </r>
  </si>
  <si>
    <r>
      <t xml:space="preserve">Amphidinium </t>
    </r>
    <r>
      <rPr>
        <sz val="11"/>
        <color theme="1"/>
        <rFont val="Calibri"/>
        <family val="2"/>
        <scheme val="minor"/>
      </rPr>
      <t>spp.</t>
    </r>
  </si>
  <si>
    <t>Triceratium sp.</t>
  </si>
  <si>
    <r>
      <t xml:space="preserve">Peridinium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</si>
  <si>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t xml:space="preserve">Gyrodinium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</si>
  <si>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t>Heterocapsa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</si>
  <si>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Cymatopleaura </t>
    </r>
    <r>
      <rPr>
        <sz val="11"/>
        <color theme="1"/>
        <rFont val="Calibri"/>
        <family val="2"/>
        <scheme val="minor"/>
      </rPr>
      <t>spp.</t>
    </r>
  </si>
  <si>
    <r>
      <t xml:space="preserve">Oscillatoria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</si>
  <si>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>Karenia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</t>
    </r>
    <r>
      <rPr>
        <sz val="11"/>
        <color theme="1"/>
        <rFont val="Calibri"/>
        <family val="2"/>
        <scheme val="minor"/>
      </rPr>
      <t>.</t>
    </r>
  </si>
  <si>
    <t>Peridinium sp.</t>
  </si>
  <si>
    <r>
      <t xml:space="preserve">Eutreptiella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</si>
  <si>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t xml:space="preserve">Ulnaria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</si>
  <si>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t xml:space="preserve">Chroococcus </t>
    </r>
    <r>
      <rPr>
        <sz val="11"/>
        <color theme="1"/>
        <rFont val="Calibri"/>
        <family val="2"/>
        <scheme val="minor"/>
      </rPr>
      <t>spp.</t>
    </r>
  </si>
  <si>
    <t>Cochlodinium sp.</t>
  </si>
  <si>
    <t>Epigloesphaera sp.</t>
  </si>
  <si>
    <r>
      <t xml:space="preserve">Odontella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</si>
  <si>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Karenia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</si>
  <si>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t xml:space="preserve">Alexandrium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</si>
  <si>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Unidentified cyanobacteria </t>
    </r>
    <r>
      <rPr>
        <i/>
        <sz val="11"/>
        <color theme="1"/>
        <rFont val="Calibri"/>
        <family val="2"/>
        <scheme val="minor"/>
      </rPr>
      <t>sp</t>
    </r>
    <r>
      <rPr>
        <sz val="11"/>
        <color theme="1"/>
        <rFont val="Calibri"/>
        <family val="2"/>
        <scheme val="minor"/>
      </rPr>
      <t>.</t>
    </r>
  </si>
  <si>
    <r>
      <t>Ceratium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</si>
  <si>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 xml:space="preserve"> Condenellopsis sp</t>
    </r>
    <r>
      <rPr>
        <sz val="11"/>
        <color theme="1"/>
        <rFont val="Calibri"/>
        <family val="2"/>
        <scheme val="minor"/>
      </rPr>
      <t>.</t>
    </r>
  </si>
  <si>
    <r>
      <t>Cocconeis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</si>
  <si>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Achanthes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</si>
  <si>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>Hemiaulus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</si>
  <si>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t xml:space="preserve">Alexandrium </t>
    </r>
    <r>
      <rPr>
        <sz val="11"/>
        <color theme="1"/>
        <rFont val="Calibri"/>
        <family val="2"/>
        <scheme val="minor"/>
      </rPr>
      <t>spp.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</si>
  <si>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Stenosomella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</si>
  <si>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Microcoleus</t>
    </r>
    <r>
      <rPr>
        <sz val="11"/>
        <color theme="1"/>
        <rFont val="Calibri"/>
        <family val="2"/>
        <scheme val="minor"/>
      </rPr>
      <t xml:space="preserve"> spp.</t>
    </r>
  </si>
  <si>
    <t>Leegaardiella sp.</t>
  </si>
  <si>
    <r>
      <t>Surirella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</si>
  <si>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Cymbella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</si>
  <si>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t>Pseudonitzschia spp.</t>
  </si>
  <si>
    <r>
      <t>Gyrodinium</t>
    </r>
    <r>
      <rPr>
        <sz val="11"/>
        <color theme="1"/>
        <rFont val="Calibri"/>
        <family val="2"/>
        <scheme val="minor"/>
      </rPr>
      <t xml:space="preserve"> spp.</t>
    </r>
  </si>
  <si>
    <r>
      <t>Alexandrium</t>
    </r>
    <r>
      <rPr>
        <sz val="11"/>
        <color theme="1"/>
        <rFont val="Calibri"/>
        <family val="2"/>
        <scheme val="minor"/>
      </rPr>
      <t xml:space="preserve"> spp</t>
    </r>
    <r>
      <rPr>
        <i/>
        <sz val="11"/>
        <color theme="1"/>
        <rFont val="Calibri"/>
        <family val="2"/>
        <scheme val="minor"/>
      </rPr>
      <t xml:space="preserve">. </t>
    </r>
  </si>
  <si>
    <r>
      <t xml:space="preserve">Leptocylindricus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</si>
  <si>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Leegaardiella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</si>
  <si>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Oscillatoria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</si>
  <si>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Trichodesmium</t>
    </r>
    <r>
      <rPr>
        <sz val="11"/>
        <color theme="1"/>
        <rFont val="Calibri"/>
        <family val="2"/>
        <scheme val="minor"/>
      </rPr>
      <t xml:space="preserve"> spp. </t>
    </r>
  </si>
  <si>
    <t>Codenellopsis sp.</t>
  </si>
  <si>
    <r>
      <rPr>
        <i/>
        <sz val="11"/>
        <color theme="1"/>
        <rFont val="Calibri"/>
        <family val="2"/>
        <scheme val="minor"/>
      </rPr>
      <t>Cymatopleaura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</si>
  <si>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 xml:space="preserve">Probosca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</si>
  <si>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 xml:space="preserve">Dinophysis </t>
    </r>
    <r>
      <rPr>
        <sz val="11"/>
        <color theme="1"/>
        <rFont val="Calibri"/>
        <family val="2"/>
        <scheme val="minor"/>
      </rPr>
      <t>spp.</t>
    </r>
  </si>
  <si>
    <t>Amphipleura sp.</t>
  </si>
  <si>
    <r>
      <rPr>
        <i/>
        <sz val="11"/>
        <color theme="1"/>
        <rFont val="Calibri"/>
        <family val="2"/>
        <scheme val="minor"/>
      </rPr>
      <t>Paralia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</si>
  <si>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t>Amphora</t>
    </r>
    <r>
      <rPr>
        <sz val="11"/>
        <color theme="1"/>
        <rFont val="Calibri"/>
        <family val="2"/>
        <scheme val="minor"/>
      </rPr>
      <t xml:space="preserve"> spp.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</si>
  <si>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Gyrosigma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</si>
  <si>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t>Helicostomella sp.</t>
  </si>
  <si>
    <r>
      <rPr>
        <i/>
        <sz val="11"/>
        <color theme="1"/>
        <rFont val="Calibri"/>
        <family val="2"/>
        <scheme val="minor"/>
      </rPr>
      <t>Probosca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</si>
  <si>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Euglena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</t>
    </r>
    <r>
      <rPr>
        <sz val="11"/>
        <color theme="1"/>
        <rFont val="Calibri"/>
        <family val="2"/>
        <scheme val="minor"/>
      </rPr>
      <t>.</t>
    </r>
  </si>
  <si>
    <r>
      <t xml:space="preserve">Melosira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</si>
  <si>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t>Trichodesmium sp.</t>
  </si>
  <si>
    <r>
      <rPr>
        <i/>
        <sz val="11"/>
        <color theme="1"/>
        <rFont val="Calibri"/>
        <family val="2"/>
        <scheme val="minor"/>
      </rPr>
      <t xml:space="preserve">Lingulodinium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</si>
  <si>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Amphorellopsis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</si>
  <si>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Condonellopsis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</si>
  <si>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Ditylum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</si>
  <si>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t xml:space="preserve">Coscinodiscus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</si>
  <si>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t>Ceratium</t>
    </r>
    <r>
      <rPr>
        <sz val="11"/>
        <color theme="1"/>
        <rFont val="Calibri"/>
        <family val="2"/>
        <scheme val="minor"/>
      </rPr>
      <t xml:space="preserve"> spp</t>
    </r>
    <r>
      <rPr>
        <i/>
        <sz val="11"/>
        <color theme="1"/>
        <rFont val="Calibri"/>
        <family val="2"/>
        <scheme val="minor"/>
      </rPr>
      <t>.</t>
    </r>
  </si>
  <si>
    <r>
      <t>Leptocylindricus</t>
    </r>
    <r>
      <rPr>
        <sz val="11"/>
        <color theme="1"/>
        <rFont val="Calibri"/>
        <family val="2"/>
        <scheme val="minor"/>
      </rPr>
      <t xml:space="preserve"> spp</t>
    </r>
    <r>
      <rPr>
        <i/>
        <sz val="11"/>
        <color theme="1"/>
        <rFont val="Calibri"/>
        <family val="2"/>
        <scheme val="minor"/>
      </rPr>
      <t>.</t>
    </r>
  </si>
  <si>
    <r>
      <t>Pinnularia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</si>
  <si>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Heterocapsa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</si>
  <si>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Favella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</si>
  <si>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Amphora</t>
    </r>
    <r>
      <rPr>
        <sz val="11"/>
        <color theme="1"/>
        <rFont val="Calibri"/>
        <family val="2"/>
        <scheme val="minor"/>
      </rPr>
      <t xml:space="preserve"> spp.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</si>
  <si>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Alexandrium</t>
    </r>
    <r>
      <rPr>
        <sz val="11"/>
        <color theme="1"/>
        <rFont val="Calibri"/>
        <family val="2"/>
        <scheme val="minor"/>
      </rPr>
      <t xml:space="preserve"> spp. </t>
    </r>
  </si>
  <si>
    <t xml:space="preserve">Unidentified Cyanobacteria spp. </t>
  </si>
  <si>
    <r>
      <t xml:space="preserve">Melosira </t>
    </r>
    <r>
      <rPr>
        <sz val="11"/>
        <color theme="1"/>
        <rFont val="Calibri"/>
        <family val="2"/>
        <scheme val="minor"/>
      </rPr>
      <t>spp.</t>
    </r>
  </si>
  <si>
    <r>
      <t>Unindentified Cyanobacteria spp</t>
    </r>
    <r>
      <rPr>
        <i/>
        <sz val="11"/>
        <color theme="1"/>
        <rFont val="Calibri"/>
        <family val="2"/>
        <scheme val="minor"/>
      </rPr>
      <t>.</t>
    </r>
  </si>
  <si>
    <t>Zooplankton (copepods)</t>
  </si>
  <si>
    <t>Unidentified Cyanobacteria spp.</t>
  </si>
  <si>
    <r>
      <t xml:space="preserve">Pseudonitzschia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</si>
  <si>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t>Zooplankton eggs/nauplii</t>
  </si>
  <si>
    <r>
      <t>Unidentified cynobacteria spp</t>
    </r>
    <r>
      <rPr>
        <i/>
        <sz val="11"/>
        <color theme="1"/>
        <rFont val="Calibri"/>
        <family val="2"/>
        <scheme val="minor"/>
      </rPr>
      <t>.</t>
    </r>
  </si>
  <si>
    <t>Lauderia sp.</t>
  </si>
  <si>
    <t>Zooplankton (Copepods)</t>
  </si>
  <si>
    <r>
      <t xml:space="preserve">Paralia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</si>
  <si>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Isthmia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</si>
  <si>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Haslea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</si>
  <si>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Strobilidium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</si>
  <si>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Strobilidium</t>
    </r>
    <r>
      <rPr>
        <sz val="11"/>
        <color theme="1"/>
        <rFont val="Calibri"/>
        <family val="2"/>
        <scheme val="minor"/>
      </rPr>
      <t xml:space="preserve"> spp</t>
    </r>
    <r>
      <rPr>
        <i/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</si>
  <si>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 xml:space="preserve">Strobilidium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</si>
  <si>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Strobilidium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</si>
  <si>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>Leegaardiella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</si>
  <si>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Strobilidium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</si>
  <si>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Oxyrrhis</t>
    </r>
    <r>
      <rPr>
        <sz val="11"/>
        <color theme="1"/>
        <rFont val="Calibri"/>
        <family val="2"/>
        <scheme val="minor"/>
      </rPr>
      <t xml:space="preserve"> sp.</t>
    </r>
  </si>
  <si>
    <r>
      <t>Gyrosigma</t>
    </r>
    <r>
      <rPr>
        <sz val="11"/>
        <color theme="1"/>
        <rFont val="Calibri"/>
        <family val="2"/>
        <scheme val="minor"/>
      </rPr>
      <t xml:space="preserve"> spp</t>
    </r>
    <r>
      <rPr>
        <i/>
        <sz val="11"/>
        <color theme="1"/>
        <rFont val="Calibri"/>
        <family val="2"/>
        <scheme val="minor"/>
      </rPr>
      <t>.</t>
    </r>
  </si>
  <si>
    <r>
      <t>Strobilidium</t>
    </r>
    <r>
      <rPr>
        <sz val="11"/>
        <color theme="1"/>
        <rFont val="Calibri"/>
        <family val="2"/>
        <scheme val="minor"/>
      </rPr>
      <t xml:space="preserve"> spp</t>
    </r>
    <r>
      <rPr>
        <i/>
        <sz val="11"/>
        <color theme="1"/>
        <rFont val="Calibri"/>
        <family val="2"/>
        <scheme val="minor"/>
      </rPr>
      <t>.</t>
    </r>
  </si>
  <si>
    <t>%Freq.</t>
  </si>
  <si>
    <t>Peridinium spp.</t>
  </si>
  <si>
    <t>Gonyaulax spp.</t>
  </si>
  <si>
    <t>Strobilidium sp.</t>
  </si>
  <si>
    <t>Coscinodiscus sp.</t>
  </si>
  <si>
    <t>Leegardiella sp.</t>
  </si>
  <si>
    <t>Pyrocystis sp.</t>
  </si>
  <si>
    <t>J'</t>
  </si>
  <si>
    <t>H'=pi*Inpi</t>
  </si>
  <si>
    <t>R'</t>
  </si>
  <si>
    <t>Copepods</t>
  </si>
  <si>
    <t>Oligo</t>
  </si>
  <si>
    <t>Spiro</t>
  </si>
  <si>
    <t>Dicty</t>
  </si>
  <si>
    <t>Copepoda</t>
  </si>
  <si>
    <t>Dict</t>
  </si>
  <si>
    <t>Copopoda</t>
  </si>
  <si>
    <t>Litostomatea</t>
  </si>
  <si>
    <t>Litosmatea</t>
  </si>
  <si>
    <t>Dictyocha</t>
  </si>
  <si>
    <t>Dictyo</t>
  </si>
  <si>
    <t>St. 1</t>
  </si>
  <si>
    <t>St. 2</t>
  </si>
  <si>
    <t>St. 3</t>
  </si>
  <si>
    <t>St. 4</t>
  </si>
  <si>
    <t>Nov. 2020</t>
  </si>
  <si>
    <t>Dec. 2020</t>
  </si>
  <si>
    <r>
      <rPr>
        <i/>
        <sz val="11"/>
        <rFont val="Calibri"/>
        <family val="2"/>
        <scheme val="minor"/>
      </rPr>
      <t xml:space="preserve">Entomoneis </t>
    </r>
    <r>
      <rPr>
        <sz val="11"/>
        <rFont val="Calibri"/>
        <family val="2"/>
        <scheme val="minor"/>
      </rPr>
      <t>spp.</t>
    </r>
  </si>
  <si>
    <r>
      <rPr>
        <i/>
        <sz val="11"/>
        <rFont val="Calibri"/>
        <family val="2"/>
        <scheme val="minor"/>
      </rPr>
      <t xml:space="preserve">Scrippsiella </t>
    </r>
    <r>
      <rPr>
        <sz val="11"/>
        <rFont val="Calibri"/>
        <family val="2"/>
        <scheme val="minor"/>
      </rPr>
      <t xml:space="preserve">spp. </t>
    </r>
  </si>
  <si>
    <r>
      <rPr>
        <i/>
        <sz val="11"/>
        <rFont val="Calibri"/>
        <family val="2"/>
        <scheme val="minor"/>
      </rPr>
      <t xml:space="preserve">Nitzschia </t>
    </r>
    <r>
      <rPr>
        <sz val="11"/>
        <rFont val="Calibri"/>
        <family val="2"/>
        <scheme val="minor"/>
      </rPr>
      <t>spp.</t>
    </r>
  </si>
  <si>
    <r>
      <rPr>
        <i/>
        <sz val="11"/>
        <rFont val="Calibri"/>
        <family val="2"/>
        <scheme val="minor"/>
      </rPr>
      <t xml:space="preserve">Pseudonitzschia </t>
    </r>
    <r>
      <rPr>
        <sz val="11"/>
        <rFont val="Calibri"/>
        <family val="2"/>
        <scheme val="minor"/>
      </rPr>
      <t>spp.</t>
    </r>
  </si>
  <si>
    <r>
      <rPr>
        <i/>
        <sz val="11"/>
        <rFont val="Calibri"/>
        <family val="2"/>
        <scheme val="minor"/>
      </rPr>
      <t xml:space="preserve">Cylindrotheca </t>
    </r>
    <r>
      <rPr>
        <sz val="11"/>
        <rFont val="Calibri"/>
        <family val="2"/>
        <scheme val="minor"/>
      </rPr>
      <t>spp.</t>
    </r>
  </si>
  <si>
    <r>
      <t xml:space="preserve">Amphora </t>
    </r>
    <r>
      <rPr>
        <sz val="11"/>
        <rFont val="Calibri"/>
        <family val="2"/>
        <scheme val="minor"/>
      </rPr>
      <t xml:space="preserve">spp. </t>
    </r>
  </si>
  <si>
    <r>
      <t xml:space="preserve">Navicula </t>
    </r>
    <r>
      <rPr>
        <sz val="11"/>
        <rFont val="Calibri"/>
        <family val="2"/>
        <scheme val="minor"/>
      </rPr>
      <t>spp.</t>
    </r>
  </si>
  <si>
    <r>
      <t xml:space="preserve">Prorocentrum </t>
    </r>
    <r>
      <rPr>
        <sz val="11"/>
        <rFont val="Calibri"/>
        <family val="2"/>
        <scheme val="minor"/>
      </rPr>
      <t>spp.</t>
    </r>
  </si>
  <si>
    <r>
      <t xml:space="preserve">Guinardia </t>
    </r>
    <r>
      <rPr>
        <sz val="11"/>
        <rFont val="Calibri"/>
        <family val="2"/>
        <scheme val="minor"/>
      </rPr>
      <t>spp.</t>
    </r>
  </si>
  <si>
    <r>
      <t xml:space="preserve">Ostreopsis </t>
    </r>
    <r>
      <rPr>
        <sz val="11"/>
        <rFont val="Calibri"/>
        <family val="2"/>
        <scheme val="minor"/>
      </rPr>
      <t>spp.</t>
    </r>
  </si>
  <si>
    <r>
      <t xml:space="preserve">Mastogloia </t>
    </r>
    <r>
      <rPr>
        <sz val="11"/>
        <rFont val="Calibri"/>
        <family val="2"/>
        <scheme val="minor"/>
      </rPr>
      <t>spp.</t>
    </r>
  </si>
  <si>
    <r>
      <t xml:space="preserve">Coscinodiscus </t>
    </r>
    <r>
      <rPr>
        <sz val="11"/>
        <rFont val="Calibri"/>
        <family val="2"/>
        <scheme val="minor"/>
      </rPr>
      <t>spp.</t>
    </r>
  </si>
  <si>
    <r>
      <t xml:space="preserve">Oxyrrhis </t>
    </r>
    <r>
      <rPr>
        <sz val="11"/>
        <rFont val="Calibri"/>
        <family val="2"/>
        <scheme val="minor"/>
      </rPr>
      <t xml:space="preserve">spp. </t>
    </r>
  </si>
  <si>
    <r>
      <t xml:space="preserve">Rhizosolenia </t>
    </r>
    <r>
      <rPr>
        <sz val="11"/>
        <rFont val="Calibri"/>
        <family val="2"/>
        <scheme val="minor"/>
      </rPr>
      <t>spp.</t>
    </r>
  </si>
  <si>
    <r>
      <t xml:space="preserve">Gonyaulax </t>
    </r>
    <r>
      <rPr>
        <sz val="11"/>
        <rFont val="Calibri"/>
        <family val="2"/>
        <scheme val="minor"/>
      </rPr>
      <t>spp.</t>
    </r>
  </si>
  <si>
    <r>
      <t xml:space="preserve">Thalassionema </t>
    </r>
    <r>
      <rPr>
        <sz val="11"/>
        <rFont val="Calibri"/>
        <family val="2"/>
        <scheme val="minor"/>
      </rPr>
      <t>spp.</t>
    </r>
  </si>
  <si>
    <r>
      <t xml:space="preserve">Euglena </t>
    </r>
    <r>
      <rPr>
        <sz val="11"/>
        <rFont val="Calibri"/>
        <family val="2"/>
        <scheme val="minor"/>
      </rPr>
      <t>spp.</t>
    </r>
  </si>
  <si>
    <r>
      <t xml:space="preserve">Gyrosigma </t>
    </r>
    <r>
      <rPr>
        <sz val="11"/>
        <rFont val="Calibri"/>
        <family val="2"/>
        <scheme val="minor"/>
      </rPr>
      <t>spp.</t>
    </r>
  </si>
  <si>
    <r>
      <t xml:space="preserve">Chaetoceros </t>
    </r>
    <r>
      <rPr>
        <sz val="11"/>
        <rFont val="Calibri"/>
        <family val="2"/>
        <scheme val="minor"/>
      </rPr>
      <t>spp.</t>
    </r>
  </si>
  <si>
    <r>
      <t xml:space="preserve">Pleurosigma </t>
    </r>
    <r>
      <rPr>
        <sz val="11"/>
        <rFont val="Calibri"/>
        <family val="2"/>
        <scheme val="minor"/>
      </rPr>
      <t>spp.</t>
    </r>
  </si>
  <si>
    <r>
      <t xml:space="preserve">Cymbella </t>
    </r>
    <r>
      <rPr>
        <sz val="11"/>
        <rFont val="Calibri"/>
        <family val="2"/>
        <scheme val="minor"/>
      </rPr>
      <t>spp.</t>
    </r>
  </si>
  <si>
    <r>
      <t xml:space="preserve">Gymnodinium </t>
    </r>
    <r>
      <rPr>
        <sz val="11"/>
        <rFont val="Calibri"/>
        <family val="2"/>
        <scheme val="minor"/>
      </rPr>
      <t>spp.</t>
    </r>
  </si>
  <si>
    <r>
      <t xml:space="preserve">Pinnularia </t>
    </r>
    <r>
      <rPr>
        <sz val="11"/>
        <rFont val="Calibri"/>
        <family val="2"/>
        <scheme val="minor"/>
      </rPr>
      <t>spp.</t>
    </r>
  </si>
  <si>
    <r>
      <t xml:space="preserve">Synedra </t>
    </r>
    <r>
      <rPr>
        <sz val="11"/>
        <rFont val="Calibri"/>
        <family val="2"/>
        <scheme val="minor"/>
      </rPr>
      <t>spp.</t>
    </r>
  </si>
  <si>
    <r>
      <t xml:space="preserve">Diploneis </t>
    </r>
    <r>
      <rPr>
        <sz val="11"/>
        <rFont val="Calibri"/>
        <family val="2"/>
        <scheme val="minor"/>
      </rPr>
      <t>spp.</t>
    </r>
  </si>
  <si>
    <r>
      <t>Leptocylindricus</t>
    </r>
    <r>
      <rPr>
        <sz val="11"/>
        <rFont val="Calibri"/>
        <family val="2"/>
        <scheme val="minor"/>
      </rPr>
      <t xml:space="preserve"> spp.</t>
    </r>
  </si>
  <si>
    <r>
      <t xml:space="preserve">Odontella </t>
    </r>
    <r>
      <rPr>
        <sz val="11"/>
        <rFont val="Calibri"/>
        <family val="2"/>
        <scheme val="minor"/>
      </rPr>
      <t>spp.</t>
    </r>
  </si>
  <si>
    <r>
      <t xml:space="preserve">Gyrodinium </t>
    </r>
    <r>
      <rPr>
        <sz val="11"/>
        <rFont val="Calibri"/>
        <family val="2"/>
        <scheme val="minor"/>
      </rPr>
      <t>spp.</t>
    </r>
  </si>
  <si>
    <r>
      <t xml:space="preserve">Peridinium </t>
    </r>
    <r>
      <rPr>
        <sz val="11"/>
        <rFont val="Calibri"/>
        <family val="2"/>
        <scheme val="minor"/>
      </rPr>
      <t>spp.</t>
    </r>
  </si>
  <si>
    <r>
      <t xml:space="preserve">Trachyneis </t>
    </r>
    <r>
      <rPr>
        <sz val="11"/>
        <rFont val="Calibri"/>
        <family val="2"/>
        <scheme val="minor"/>
      </rPr>
      <t>spp.</t>
    </r>
  </si>
  <si>
    <r>
      <t xml:space="preserve">Cocconeis </t>
    </r>
    <r>
      <rPr>
        <sz val="11"/>
        <rFont val="Calibri"/>
        <family val="2"/>
        <scheme val="minor"/>
      </rPr>
      <t>spp.</t>
    </r>
  </si>
  <si>
    <r>
      <t xml:space="preserve">Heterocapsa </t>
    </r>
    <r>
      <rPr>
        <sz val="11"/>
        <rFont val="Calibri"/>
        <family val="2"/>
        <scheme val="minor"/>
      </rPr>
      <t>spp.</t>
    </r>
  </si>
  <si>
    <r>
      <t xml:space="preserve">Protoperidinium </t>
    </r>
    <r>
      <rPr>
        <sz val="11"/>
        <rFont val="Calibri"/>
        <family val="2"/>
        <scheme val="minor"/>
      </rPr>
      <t>spp.</t>
    </r>
  </si>
  <si>
    <r>
      <t xml:space="preserve">Achnanthes </t>
    </r>
    <r>
      <rPr>
        <sz val="11"/>
        <rFont val="Calibri"/>
        <family val="2"/>
        <scheme val="minor"/>
      </rPr>
      <t>spp.</t>
    </r>
  </si>
  <si>
    <r>
      <t>Unidentified cynobacteria spp</t>
    </r>
    <r>
      <rPr>
        <i/>
        <sz val="11"/>
        <rFont val="Calibri"/>
        <family val="2"/>
        <scheme val="minor"/>
      </rPr>
      <t>.</t>
    </r>
  </si>
  <si>
    <r>
      <t xml:space="preserve">Thalassiosira </t>
    </r>
    <r>
      <rPr>
        <sz val="11"/>
        <rFont val="Calibri"/>
        <family val="2"/>
        <scheme val="minor"/>
      </rPr>
      <t>spp.</t>
    </r>
  </si>
  <si>
    <r>
      <t>Merismopedia</t>
    </r>
    <r>
      <rPr>
        <sz val="11"/>
        <rFont val="Calibri"/>
        <family val="2"/>
        <scheme val="minor"/>
      </rPr>
      <t xml:space="preserve"> spp.</t>
    </r>
  </si>
  <si>
    <r>
      <t xml:space="preserve">Eutreptella </t>
    </r>
    <r>
      <rPr>
        <sz val="11"/>
        <rFont val="Calibri"/>
        <family val="2"/>
        <scheme val="minor"/>
      </rPr>
      <t>spp.</t>
    </r>
  </si>
  <si>
    <r>
      <t xml:space="preserve">Dunaliella </t>
    </r>
    <r>
      <rPr>
        <sz val="11"/>
        <rFont val="Calibri"/>
        <family val="2"/>
        <scheme val="minor"/>
      </rPr>
      <t>spp.</t>
    </r>
  </si>
  <si>
    <r>
      <t xml:space="preserve">Amphidinium </t>
    </r>
    <r>
      <rPr>
        <sz val="11"/>
        <rFont val="Calibri"/>
        <family val="2"/>
        <scheme val="minor"/>
      </rPr>
      <t>spp.</t>
    </r>
  </si>
  <si>
    <t>Jan. 21</t>
  </si>
  <si>
    <t>Feb. 21</t>
  </si>
  <si>
    <t>Nov. 20</t>
  </si>
  <si>
    <t>Dec. 20</t>
  </si>
  <si>
    <r>
      <rPr>
        <i/>
        <sz val="11"/>
        <color theme="1"/>
        <rFont val="Calibri"/>
        <family val="2"/>
        <scheme val="minor"/>
      </rPr>
      <t>Asterionellopsis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</si>
  <si>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Protoperidinium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</si>
  <si>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Navicula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</si>
  <si>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Nitzschia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</si>
  <si>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Pseudo-nitzschia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</si>
  <si>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Amphora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</si>
  <si>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Cylindrotheca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</si>
  <si>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Guinardia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</si>
  <si>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Gyrodinium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</si>
  <si>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Leptocylindricus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</si>
  <si>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Prorocentrum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</si>
  <si>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Chaetoceros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</si>
  <si>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Pleurosigma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</si>
  <si>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Cocconeis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</si>
  <si>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Mastogloia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</si>
  <si>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Thalassiosira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</si>
  <si>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Gonyaulax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</si>
  <si>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Pinnularia</t>
    </r>
    <r>
      <rPr>
        <sz val="11"/>
        <color theme="1"/>
        <rFont val="Calibri"/>
        <family val="2"/>
        <scheme val="minor"/>
      </rPr>
      <t xml:space="preserve"> spp. </t>
    </r>
  </si>
  <si>
    <r>
      <rPr>
        <i/>
        <sz val="11"/>
        <color theme="1"/>
        <rFont val="Calibri"/>
        <family val="2"/>
        <scheme val="minor"/>
      </rPr>
      <t>Scrippsiella</t>
    </r>
    <r>
      <rPr>
        <sz val="11"/>
        <color theme="1"/>
        <rFont val="Calibri"/>
        <family val="2"/>
        <scheme val="minor"/>
      </rPr>
      <t xml:space="preserve"> spp</t>
    </r>
  </si>
  <si>
    <r>
      <rPr>
        <i/>
        <sz val="11"/>
        <color theme="1"/>
        <rFont val="Calibri"/>
        <family val="2"/>
        <scheme val="minor"/>
      </rPr>
      <t>Cymbella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</si>
  <si>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Merismopedia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</si>
  <si>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Hemiaulus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</si>
  <si>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Thalassionema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</si>
  <si>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Gyrosigma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</si>
  <si>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Protoceratium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</si>
  <si>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Dictyocha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</si>
  <si>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Entomoneis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</si>
  <si>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Cerataulina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</si>
  <si>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Gymnodinium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</si>
  <si>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Probisca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</si>
  <si>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Nocticula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</si>
  <si>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Achanthes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</si>
  <si>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 xml:space="preserve">Oscillatoria </t>
    </r>
    <r>
      <rPr>
        <sz val="11"/>
        <color theme="1"/>
        <rFont val="Calibri"/>
        <family val="2"/>
        <scheme val="minor"/>
      </rPr>
      <t>spp.</t>
    </r>
  </si>
  <si>
    <r>
      <rPr>
        <i/>
        <sz val="11"/>
        <color theme="1"/>
        <rFont val="Calibri"/>
        <family val="2"/>
        <scheme val="minor"/>
      </rPr>
      <t xml:space="preserve">Rhizosolenia </t>
    </r>
    <r>
      <rPr>
        <sz val="11"/>
        <color theme="1"/>
        <rFont val="Calibri"/>
        <family val="2"/>
        <scheme val="minor"/>
      </rPr>
      <t>spp.</t>
    </r>
  </si>
  <si>
    <r>
      <t xml:space="preserve"> </t>
    </r>
    <r>
      <rPr>
        <i/>
        <sz val="11"/>
        <color theme="1"/>
        <rFont val="Calibri"/>
        <family val="2"/>
        <scheme val="minor"/>
      </rPr>
      <t>Ostreopsis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</si>
  <si>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Pentapharsodinium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</si>
  <si>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Oxyrrhis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</si>
  <si>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Ulothrix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</si>
  <si>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Euglena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</si>
  <si>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Meuniera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</si>
  <si>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Grammatophora sp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</si>
  <si>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>Epigloesphaera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</si>
  <si>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Trichodesmium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</si>
  <si>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Haslea spp</t>
    </r>
    <r>
      <rPr>
        <sz val="11"/>
        <color theme="1"/>
        <rFont val="Calibri"/>
        <family val="2"/>
        <scheme val="minor"/>
      </rPr>
      <t>.</t>
    </r>
  </si>
  <si>
    <t>Mar. 21</t>
  </si>
  <si>
    <t>Apr. 21</t>
  </si>
  <si>
    <t>Sept. 20</t>
  </si>
  <si>
    <t>Oct. 20</t>
  </si>
  <si>
    <t>Aug.-21</t>
  </si>
  <si>
    <t>Spirotrichea</t>
  </si>
  <si>
    <t>Benya lagoon</t>
  </si>
  <si>
    <t>Narkwa lagoon</t>
  </si>
  <si>
    <t>December, 2020</t>
  </si>
  <si>
    <t>January, 2021</t>
  </si>
  <si>
    <t>February, 2021</t>
  </si>
  <si>
    <t>Alexandrium spp.</t>
  </si>
  <si>
    <t>Karenia spp.</t>
  </si>
  <si>
    <t>Dinophysis spp.</t>
  </si>
  <si>
    <t>Stylonychia sp.</t>
  </si>
  <si>
    <t>ID</t>
  </si>
  <si>
    <t>Name of scientist</t>
  </si>
  <si>
    <t>Name of sampling area</t>
  </si>
  <si>
    <t>Region</t>
  </si>
  <si>
    <t>Purpose of research</t>
  </si>
  <si>
    <t>Type of research</t>
  </si>
  <si>
    <t>Species studied (where applicable)</t>
  </si>
  <si>
    <t>Type of data collected</t>
  </si>
  <si>
    <t>Sampling start date (only month and year)</t>
  </si>
  <si>
    <t>Sampling end date (only month and year)</t>
  </si>
  <si>
    <t xml:space="preserve">Temporal extent </t>
  </si>
  <si>
    <t xml:space="preserve">Edition of data </t>
  </si>
  <si>
    <t xml:space="preserve">Data owner </t>
  </si>
  <si>
    <t>Contact person for data</t>
  </si>
  <si>
    <t>CCM</t>
  </si>
  <si>
    <t>Eric Krampah</t>
  </si>
  <si>
    <t>Central</t>
  </si>
  <si>
    <t xml:space="preserve">To access the trophic ecology and growth potential of mangrove oyster (Crassostrea tulipa) larvae </t>
  </si>
  <si>
    <t>Field Observation</t>
  </si>
  <si>
    <t>mangrove oyster (Crassostrea tulipa)</t>
  </si>
  <si>
    <t>Physiochemical</t>
  </si>
  <si>
    <t>08/2020</t>
  </si>
  <si>
    <t>08/2021</t>
  </si>
  <si>
    <t>1. Narkwa 2. Benya</t>
  </si>
  <si>
    <t>Functional Group</t>
  </si>
  <si>
    <t>Cyanobacteria</t>
  </si>
  <si>
    <t>Diatom</t>
  </si>
  <si>
    <t>Dinoflagellate</t>
  </si>
  <si>
    <t>Dinoflage</t>
  </si>
  <si>
    <t>Percentage of Total</t>
  </si>
  <si>
    <t>Cya = Cyanobacteria</t>
  </si>
  <si>
    <t>Dia = Diatom</t>
  </si>
  <si>
    <t>Din = Dinoflage</t>
  </si>
  <si>
    <t>Definition of Functional Group(ID)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</si>
</sst>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Alignment="1"/>
    <xf numFmtId="0" fontId="3" fillId="0" borderId="0" xfId="0" applyFont="1"/>
    <xf numFmtId="0" fontId="5" fillId="0" borderId="0" xfId="0" applyFont="1"/>
    <xf numFmtId="0" fontId="6" fillId="0" borderId="0" xfId="0" applyFont="1"/>
    <xf numFmtId="1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/>
    <xf numFmtId="0" fontId="2" fillId="2" borderId="0" xfId="0" applyFont="1" applyFill="1"/>
    <xf numFmtId="0" fontId="2" fillId="0" borderId="0" xfId="0" applyFont="1" applyFill="1"/>
    <xf numFmtId="0" fontId="0" fillId="3" borderId="0" xfId="0" applyFill="1"/>
    <xf numFmtId="0" fontId="0" fillId="4" borderId="0" xfId="0" applyFill="1"/>
    <xf numFmtId="17" fontId="0" fillId="0" borderId="0" xfId="0" applyNumberFormat="1"/>
    <xf numFmtId="0" fontId="1" fillId="3" borderId="0" xfId="0" applyFont="1" applyFill="1"/>
    <xf numFmtId="0" fontId="1" fillId="2" borderId="0" xfId="0" applyFont="1" applyFill="1"/>
    <xf numFmtId="0" fontId="0" fillId="2" borderId="0" xfId="0" applyFill="1"/>
    <xf numFmtId="0" fontId="10" fillId="2" borderId="0" xfId="0" applyFont="1" applyFill="1"/>
    <xf numFmtId="2" fontId="0" fillId="0" borderId="0" xfId="0" applyNumberFormat="1"/>
    <xf numFmtId="0" fontId="7" fillId="0" borderId="0" xfId="0" applyFont="1" applyFill="1"/>
    <xf numFmtId="0" fontId="9" fillId="0" borderId="0" xfId="0" applyFont="1" applyFill="1"/>
    <xf numFmtId="0" fontId="8" fillId="0" borderId="0" xfId="0" applyFont="1" applyFill="1"/>
    <xf numFmtId="0" fontId="1" fillId="0" borderId="0" xfId="0" applyFont="1" applyFill="1"/>
    <xf numFmtId="0" fontId="0" fillId="0" borderId="0" xfId="0" applyFont="1" applyFill="1"/>
    <xf numFmtId="0" fontId="0" fillId="0" borderId="0" xfId="0" applyAlignment="1">
      <alignment horizontal="right"/>
    </xf>
    <xf numFmtId="17" fontId="2" fillId="0" borderId="0" xfId="0" applyNumberFormat="1" applyFont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Fill="1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0" fillId="3" borderId="0" xfId="0" applyFont="1" applyFill="1"/>
    <xf numFmtId="4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16447944006998"/>
          <c:y val="5.0925925925925923E-2"/>
          <c:w val="0.8372799650043744"/>
          <c:h val="0.703707349081364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'Benya '!$D$51</c:f>
              <c:strCache>
                <c:ptCount val="1"/>
                <c:pt idx="0">
                  <c:v>Benya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'Benya '!$C$52:$C$63</c:f>
              <c:strCache>
                <c:ptCount val="12"/>
                <c:pt idx="0">
                  <c:v>September, 2020</c:v>
                </c:pt>
                <c:pt idx="1">
                  <c:v>October, 2020</c:v>
                </c:pt>
                <c:pt idx="2">
                  <c:v>November, 2020</c:v>
                </c:pt>
                <c:pt idx="3">
                  <c:v>December, 2020</c:v>
                </c:pt>
                <c:pt idx="4">
                  <c:v>January, 2021</c:v>
                </c:pt>
                <c:pt idx="5">
                  <c:v>February, 2021</c:v>
                </c:pt>
                <c:pt idx="6">
                  <c:v>March, 2021</c:v>
                </c:pt>
                <c:pt idx="7">
                  <c:v>April, 2021</c:v>
                </c:pt>
                <c:pt idx="8">
                  <c:v>May, 2021</c:v>
                </c:pt>
                <c:pt idx="9">
                  <c:v>June, 2021</c:v>
                </c:pt>
                <c:pt idx="10">
                  <c:v>July, 2021</c:v>
                </c:pt>
                <c:pt idx="11">
                  <c:v>August, 2021</c:v>
                </c:pt>
              </c:strCache>
            </c:strRef>
          </c:cat>
          <c:val>
            <c:numRef>
              <c:f>'Benya '!$D$52:$D$63</c:f>
              <c:numCache>
                <c:formatCode>General</c:formatCode>
                <c:ptCount val="12"/>
                <c:pt idx="0">
                  <c:v>2.68</c:v>
                </c:pt>
                <c:pt idx="1">
                  <c:v>2.95</c:v>
                </c:pt>
                <c:pt idx="2">
                  <c:v>3.08</c:v>
                </c:pt>
                <c:pt idx="3">
                  <c:v>3.1</c:v>
                </c:pt>
                <c:pt idx="4">
                  <c:v>3.43</c:v>
                </c:pt>
                <c:pt idx="5">
                  <c:v>1.84</c:v>
                </c:pt>
                <c:pt idx="6">
                  <c:v>2.96</c:v>
                </c:pt>
                <c:pt idx="7">
                  <c:v>3.32</c:v>
                </c:pt>
                <c:pt idx="8">
                  <c:v>2.82</c:v>
                </c:pt>
                <c:pt idx="9">
                  <c:v>2.4900000000000002</c:v>
                </c:pt>
                <c:pt idx="10">
                  <c:v>1.55</c:v>
                </c:pt>
                <c:pt idx="11">
                  <c:v>1.1299999999999999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F-4545-A819-12E6964C89F7}"/>
            </c:ext>
          </c:extLst>
        </c:ser>
        <c:ser>
          <c:idx val="1"/>
          <c:order val="1"/>
          <c:tx>
            <c:strRef>
              <c:f>'Benya '!$F$51</c:f>
              <c:strCache>
                <c:ptCount val="1"/>
                <c:pt idx="0">
                  <c:v>Narkwa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'Benya '!$C$52:$C$63</c:f>
              <c:strCache>
                <c:ptCount val="12"/>
                <c:pt idx="0">
                  <c:v>September, 2020</c:v>
                </c:pt>
                <c:pt idx="1">
                  <c:v>October, 2020</c:v>
                </c:pt>
                <c:pt idx="2">
                  <c:v>November, 2020</c:v>
                </c:pt>
                <c:pt idx="3">
                  <c:v>December, 2020</c:v>
                </c:pt>
                <c:pt idx="4">
                  <c:v>January, 2021</c:v>
                </c:pt>
                <c:pt idx="5">
                  <c:v>February, 2021</c:v>
                </c:pt>
                <c:pt idx="6">
                  <c:v>March, 2021</c:v>
                </c:pt>
                <c:pt idx="7">
                  <c:v>April, 2021</c:v>
                </c:pt>
                <c:pt idx="8">
                  <c:v>May, 2021</c:v>
                </c:pt>
                <c:pt idx="9">
                  <c:v>June, 2021</c:v>
                </c:pt>
                <c:pt idx="10">
                  <c:v>July, 2021</c:v>
                </c:pt>
                <c:pt idx="11">
                  <c:v>August, 2021</c:v>
                </c:pt>
              </c:strCache>
            </c:strRef>
          </c:cat>
          <c:val>
            <c:numRef>
              <c:f>'Benya '!$F$52:$F$63</c:f>
              <c:numCache>
                <c:formatCode>General</c:formatCode>
                <c:ptCount val="12"/>
                <c:pt idx="0">
                  <c:v>1.53</c:v>
                </c:pt>
                <c:pt idx="1">
                  <c:v>2.95</c:v>
                </c:pt>
                <c:pt idx="2">
                  <c:v>3.08</c:v>
                </c:pt>
                <c:pt idx="3">
                  <c:v>2.95</c:v>
                </c:pt>
                <c:pt idx="4">
                  <c:v>2.2999999999999998</c:v>
                </c:pt>
                <c:pt idx="5">
                  <c:v>2.2000000000000002</c:v>
                </c:pt>
                <c:pt idx="6">
                  <c:v>2.14</c:v>
                </c:pt>
                <c:pt idx="7">
                  <c:v>3.11</c:v>
                </c:pt>
                <c:pt idx="8">
                  <c:v>2.85</c:v>
                </c:pt>
                <c:pt idx="9" formatCode="0.00">
                  <c:v>2.9</c:v>
                </c:pt>
                <c:pt idx="10">
                  <c:v>2.88</c:v>
                </c:pt>
                <c:pt idx="11">
                  <c:v>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DF-4545-A819-12E6964C8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4030864"/>
        <c:axId val="1853853136"/>
      </c:barChart>
      <c:catAx>
        <c:axId val="1694030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Month</a:t>
                </a:r>
              </a:p>
            </c:rich>
          </c:tx>
          <c:layout>
            <c:manualLayout>
              <c:xMode val="edge"/>
              <c:yMode val="edge"/>
              <c:x val="0.54373434901795825"/>
              <c:y val="0.894863300436773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21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3853136"/>
        <c:crosses val="autoZero"/>
        <c:auto val="1"/>
        <c:lblAlgn val="ctr"/>
        <c:lblOffset val="100"/>
        <c:noMultiLvlLbl val="1"/>
      </c:catAx>
      <c:valAx>
        <c:axId val="18538531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Shannon's</a:t>
                </a:r>
                <a:r>
                  <a:rPr lang="en-US" b="1" baseline="0"/>
                  <a:t> diversity index</a:t>
                </a:r>
                <a:endParaRPr lang="en-US" b="1"/>
              </a:p>
            </c:rich>
          </c:tx>
          <c:layout>
            <c:manualLayout>
              <c:xMode val="edge"/>
              <c:yMode val="edge"/>
              <c:x val="3.8989825273636335E-2"/>
              <c:y val="0.21095621684525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403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511111111111113"/>
          <c:y val="2.3726305045202681E-2"/>
          <c:w val="0.13810302528947094"/>
          <c:h val="0.105903324584426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5849912510936133"/>
                  <c:y val="7.562408865558471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'Benya '!$E$73:$E$80</c:f>
              <c:numCache>
                <c:formatCode>General</c:formatCode>
                <c:ptCount val="8"/>
                <c:pt idx="0">
                  <c:v>29.09</c:v>
                </c:pt>
                <c:pt idx="1">
                  <c:v>29.08</c:v>
                </c:pt>
                <c:pt idx="2">
                  <c:v>29.44</c:v>
                </c:pt>
                <c:pt idx="3">
                  <c:v>28.97</c:v>
                </c:pt>
                <c:pt idx="4">
                  <c:v>27.58</c:v>
                </c:pt>
                <c:pt idx="5">
                  <c:v>29.933</c:v>
                </c:pt>
                <c:pt idx="6">
                  <c:v>28.692</c:v>
                </c:pt>
                <c:pt idx="7">
                  <c:v>29.716999999999999</c:v>
                </c:pt>
              </c:numCache>
            </c:numRef>
          </c:xVal>
          <c:yVal>
            <c:numRef>
              <c:f>'Benya '!$K$73:$K$80</c:f>
              <c:numCache>
                <c:formatCode>General</c:formatCode>
                <c:ptCount val="8"/>
                <c:pt idx="0">
                  <c:v>2.68</c:v>
                </c:pt>
                <c:pt idx="1">
                  <c:v>2.95</c:v>
                </c:pt>
                <c:pt idx="2">
                  <c:v>3.08</c:v>
                </c:pt>
                <c:pt idx="3">
                  <c:v>3.1</c:v>
                </c:pt>
                <c:pt idx="4">
                  <c:v>3.43</c:v>
                </c:pt>
                <c:pt idx="5">
                  <c:v>1.84</c:v>
                </c:pt>
                <c:pt idx="6">
                  <c:v>2.96</c:v>
                </c:pt>
                <c:pt idx="7">
                  <c:v>3.32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E8-4654-B04D-480CEEADA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155648"/>
        <c:axId val="153755776"/>
      </c:scatterChart>
      <c:valAx>
        <c:axId val="374155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755776"/>
        <c:crosses val="autoZero"/>
        <c:crossBetween val="midCat"/>
      </c:valAx>
      <c:valAx>
        <c:axId val="15375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155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'Benya '!$F$73:$F$80</c:f>
              <c:numCache>
                <c:formatCode>General</c:formatCode>
                <c:ptCount val="8"/>
                <c:pt idx="0">
                  <c:v>31.65</c:v>
                </c:pt>
                <c:pt idx="1">
                  <c:v>30</c:v>
                </c:pt>
                <c:pt idx="2">
                  <c:v>35.83</c:v>
                </c:pt>
                <c:pt idx="3">
                  <c:v>37.64</c:v>
                </c:pt>
                <c:pt idx="4">
                  <c:v>38.51</c:v>
                </c:pt>
                <c:pt idx="5">
                  <c:v>35.707999999999998</c:v>
                </c:pt>
                <c:pt idx="6">
                  <c:v>37.125</c:v>
                </c:pt>
                <c:pt idx="7">
                  <c:v>37.177999999999997</c:v>
                </c:pt>
              </c:numCache>
            </c:numRef>
          </c:xVal>
          <c:yVal>
            <c:numRef>
              <c:f>'Benya '!$K$73:$K$80</c:f>
              <c:numCache>
                <c:formatCode>General</c:formatCode>
                <c:ptCount val="8"/>
                <c:pt idx="0">
                  <c:v>2.68</c:v>
                </c:pt>
                <c:pt idx="1">
                  <c:v>2.95</c:v>
                </c:pt>
                <c:pt idx="2">
                  <c:v>3.08</c:v>
                </c:pt>
                <c:pt idx="3">
                  <c:v>3.1</c:v>
                </c:pt>
                <c:pt idx="4">
                  <c:v>3.43</c:v>
                </c:pt>
                <c:pt idx="5">
                  <c:v>1.84</c:v>
                </c:pt>
                <c:pt idx="6">
                  <c:v>2.96</c:v>
                </c:pt>
                <c:pt idx="7">
                  <c:v>3.32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D3-4BCC-AB7A-7D5E5C62C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091648"/>
        <c:axId val="1690819008"/>
      </c:scatterChart>
      <c:valAx>
        <c:axId val="374091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0819008"/>
        <c:crosses val="autoZero"/>
        <c:crossBetween val="midCat"/>
      </c:valAx>
      <c:valAx>
        <c:axId val="169081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091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'Benya '!$G$73:$G$80</c:f>
              <c:numCache>
                <c:formatCode>General</c:formatCode>
                <c:ptCount val="8"/>
                <c:pt idx="0">
                  <c:v>2.6</c:v>
                </c:pt>
                <c:pt idx="1">
                  <c:v>3.1</c:v>
                </c:pt>
                <c:pt idx="2">
                  <c:v>1.34</c:v>
                </c:pt>
                <c:pt idx="3">
                  <c:v>2.88</c:v>
                </c:pt>
                <c:pt idx="4">
                  <c:v>1.63</c:v>
                </c:pt>
                <c:pt idx="5">
                  <c:v>1.7649999999999999</c:v>
                </c:pt>
                <c:pt idx="6">
                  <c:v>1.4630000000000001</c:v>
                </c:pt>
                <c:pt idx="7">
                  <c:v>2.4750000000000001</c:v>
                </c:pt>
              </c:numCache>
            </c:numRef>
          </c:xVal>
          <c:yVal>
            <c:numRef>
              <c:f>'Benya '!$K$73:$K$80</c:f>
              <c:numCache>
                <c:formatCode>General</c:formatCode>
                <c:ptCount val="8"/>
                <c:pt idx="0">
                  <c:v>2.68</c:v>
                </c:pt>
                <c:pt idx="1">
                  <c:v>2.95</c:v>
                </c:pt>
                <c:pt idx="2">
                  <c:v>3.08</c:v>
                </c:pt>
                <c:pt idx="3">
                  <c:v>3.1</c:v>
                </c:pt>
                <c:pt idx="4">
                  <c:v>3.43</c:v>
                </c:pt>
                <c:pt idx="5">
                  <c:v>1.84</c:v>
                </c:pt>
                <c:pt idx="6">
                  <c:v>2.96</c:v>
                </c:pt>
                <c:pt idx="7">
                  <c:v>3.32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4B-49C7-B80D-3FF17926E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136688"/>
        <c:axId val="2010414256"/>
      </c:scatterChart>
      <c:valAx>
        <c:axId val="365136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0414256"/>
        <c:crosses val="autoZero"/>
        <c:crossBetween val="midCat"/>
      </c:valAx>
      <c:valAx>
        <c:axId val="201041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136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'Benya '!$H$73:$H$80</c:f>
              <c:numCache>
                <c:formatCode>General</c:formatCode>
                <c:ptCount val="8"/>
                <c:pt idx="0">
                  <c:v>7.29</c:v>
                </c:pt>
                <c:pt idx="1">
                  <c:v>6.68</c:v>
                </c:pt>
                <c:pt idx="2">
                  <c:v>7.04</c:v>
                </c:pt>
                <c:pt idx="3">
                  <c:v>7</c:v>
                </c:pt>
                <c:pt idx="4">
                  <c:v>7</c:v>
                </c:pt>
                <c:pt idx="5">
                  <c:v>6.9924999999999997</c:v>
                </c:pt>
                <c:pt idx="6">
                  <c:v>7.5175000000000001</c:v>
                </c:pt>
                <c:pt idx="7">
                  <c:v>7.5525000000000002</c:v>
                </c:pt>
              </c:numCache>
            </c:numRef>
          </c:xVal>
          <c:yVal>
            <c:numRef>
              <c:f>'Benya '!$K$73:$K$80</c:f>
              <c:numCache>
                <c:formatCode>General</c:formatCode>
                <c:ptCount val="8"/>
                <c:pt idx="0">
                  <c:v>2.68</c:v>
                </c:pt>
                <c:pt idx="1">
                  <c:v>2.95</c:v>
                </c:pt>
                <c:pt idx="2">
                  <c:v>3.08</c:v>
                </c:pt>
                <c:pt idx="3">
                  <c:v>3.1</c:v>
                </c:pt>
                <c:pt idx="4">
                  <c:v>3.43</c:v>
                </c:pt>
                <c:pt idx="5">
                  <c:v>1.84</c:v>
                </c:pt>
                <c:pt idx="6">
                  <c:v>2.96</c:v>
                </c:pt>
                <c:pt idx="7">
                  <c:v>3.32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46-40A9-AD8C-FF4975765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5080016"/>
        <c:axId val="481258272"/>
      </c:scatterChart>
      <c:valAx>
        <c:axId val="375080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258272"/>
        <c:crosses val="autoZero"/>
        <c:crossBetween val="midCat"/>
      </c:valAx>
      <c:valAx>
        <c:axId val="48125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080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'Benya '!$D$73:$D$80</c:f>
              <c:numCache>
                <c:formatCode>General</c:formatCode>
                <c:ptCount val="8"/>
                <c:pt idx="0">
                  <c:v>8.15</c:v>
                </c:pt>
                <c:pt idx="1">
                  <c:v>8.5299999999999994</c:v>
                </c:pt>
                <c:pt idx="2">
                  <c:v>1.98</c:v>
                </c:pt>
                <c:pt idx="3">
                  <c:v>7.08</c:v>
                </c:pt>
                <c:pt idx="4">
                  <c:v>4.04</c:v>
                </c:pt>
                <c:pt idx="5">
                  <c:v>0.8367</c:v>
                </c:pt>
                <c:pt idx="6">
                  <c:v>1.5609999999999999</c:v>
                </c:pt>
                <c:pt idx="7">
                  <c:v>1.4279999999999999</c:v>
                </c:pt>
              </c:numCache>
            </c:numRef>
          </c:xVal>
          <c:yVal>
            <c:numRef>
              <c:f>'Benya '!$K$73:$K$80</c:f>
              <c:numCache>
                <c:formatCode>General</c:formatCode>
                <c:ptCount val="8"/>
                <c:pt idx="0">
                  <c:v>2.68</c:v>
                </c:pt>
                <c:pt idx="1">
                  <c:v>2.95</c:v>
                </c:pt>
                <c:pt idx="2">
                  <c:v>3.08</c:v>
                </c:pt>
                <c:pt idx="3">
                  <c:v>3.1</c:v>
                </c:pt>
                <c:pt idx="4">
                  <c:v>3.43</c:v>
                </c:pt>
                <c:pt idx="5">
                  <c:v>1.84</c:v>
                </c:pt>
                <c:pt idx="6">
                  <c:v>2.96</c:v>
                </c:pt>
                <c:pt idx="7">
                  <c:v>3.32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66-4E49-A650-4F6BEF3C9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149248"/>
        <c:axId val="2010414672"/>
      </c:scatterChart>
      <c:valAx>
        <c:axId val="374149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0414672"/>
        <c:crosses val="autoZero"/>
        <c:crossBetween val="midCat"/>
      </c:valAx>
      <c:valAx>
        <c:axId val="201041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149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400546806649169"/>
                  <c:y val="-0.500376932050160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'Benya '!$K$73:$K$80</c:f>
              <c:numCache>
                <c:formatCode>General</c:formatCode>
                <c:ptCount val="8"/>
                <c:pt idx="0">
                  <c:v>2.68</c:v>
                </c:pt>
                <c:pt idx="1">
                  <c:v>2.95</c:v>
                </c:pt>
                <c:pt idx="2">
                  <c:v>3.08</c:v>
                </c:pt>
                <c:pt idx="3">
                  <c:v>3.1</c:v>
                </c:pt>
                <c:pt idx="4">
                  <c:v>3.43</c:v>
                </c:pt>
                <c:pt idx="5">
                  <c:v>1.84</c:v>
                </c:pt>
                <c:pt idx="6">
                  <c:v>2.96</c:v>
                </c:pt>
                <c:pt idx="7">
                  <c:v>3.32</c:v>
                </c:pt>
              </c:numCache>
            </c:numRef>
          </c:xVal>
          <c:yVal>
            <c:numRef>
              <c:f>'Benya '!$L$73:$L$80</c:f>
              <c:numCache>
                <c:formatCode>General</c:formatCode>
                <c:ptCount val="8"/>
                <c:pt idx="0">
                  <c:v>5.39</c:v>
                </c:pt>
                <c:pt idx="1">
                  <c:v>5.41</c:v>
                </c:pt>
                <c:pt idx="2">
                  <c:v>7.82</c:v>
                </c:pt>
                <c:pt idx="3">
                  <c:v>5.72</c:v>
                </c:pt>
                <c:pt idx="4">
                  <c:v>4.12</c:v>
                </c:pt>
                <c:pt idx="5">
                  <c:v>14</c:v>
                </c:pt>
                <c:pt idx="6">
                  <c:v>4.2060000000000004</c:v>
                </c:pt>
                <c:pt idx="7">
                  <c:v>3.165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A6-4447-85C3-2AB7EDF8A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8461487"/>
        <c:axId val="833999967"/>
      </c:scatterChart>
      <c:valAx>
        <c:axId val="828461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999967"/>
        <c:crosses val="autoZero"/>
        <c:crossBetween val="midCat"/>
      </c:valAx>
      <c:valAx>
        <c:axId val="833999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461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'Benya '!$I$52:$I$53</c:f>
              <c:strCache>
                <c:ptCount val="2"/>
                <c:pt idx="0">
                  <c:v>Benya</c:v>
                </c:pt>
                <c:pt idx="1">
                  <c:v>Narkwa</c:v>
                </c:pt>
              </c:strCache>
            </c:strRef>
          </c:cat>
          <c:val>
            <c:numRef>
              <c:f>'Benya '!$J$52:$J$53</c:f>
              <c:numCache>
                <c:formatCode>General</c:formatCode>
                <c:ptCount val="2"/>
                <c:pt idx="0">
                  <c:v>2.61</c:v>
                </c:pt>
                <c:pt idx="1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3-41CB-A167-BDF9C3365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3085712"/>
        <c:axId val="887650624"/>
      </c:barChart>
      <c:catAx>
        <c:axId val="753085712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87650624"/>
        <c:crosses val="autoZero"/>
        <c:auto val="1"/>
        <c:lblAlgn val="ctr"/>
        <c:lblOffset val="100"/>
        <c:noMultiLvlLbl val="0"/>
      </c:catAx>
      <c:valAx>
        <c:axId val="887650624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30857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670168</xdr:colOff>
      <xdr:row>64</xdr:row>
      <xdr:rowOff>155087</xdr:rowOff>
    </xdr:from>
    <xdr:to>
      <xdr:col>5</xdr:col>
      <xdr:colOff>761511</xdr:colOff>
      <xdr:row>82</xdr:row>
      <xdr:rowOff>148737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A2E52A-0957-456F-B433-7CE1FA19C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314325</xdr:colOff>
      <xdr:row>91</xdr:row>
      <xdr:rowOff>136525</xdr:rowOff>
    </xdr:from>
    <xdr:to>
      <xdr:col>15</xdr:col>
      <xdr:colOff>866775</xdr:colOff>
      <xdr:row>106</xdr:row>
      <xdr:rowOff>117475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14B539F-0462-4583-BCC5-3B66A2241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492125</xdr:colOff>
      <xdr:row>87</xdr:row>
      <xdr:rowOff>47625</xdr:rowOff>
    </xdr:from>
    <xdr:to>
      <xdr:col>8</xdr:col>
      <xdr:colOff>492125</xdr:colOff>
      <xdr:row>102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C5CC0B8-3FA3-414A-89CF-1A28F11C6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307975</xdr:colOff>
      <xdr:row>93</xdr:row>
      <xdr:rowOff>149225</xdr:rowOff>
    </xdr:from>
    <xdr:to>
      <xdr:col>5</xdr:col>
      <xdr:colOff>809625</xdr:colOff>
      <xdr:row>108</xdr:row>
      <xdr:rowOff>130175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03457D9-BFF5-40AF-9BE4-BD4AE5D54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479425</xdr:colOff>
      <xdr:row>85</xdr:row>
      <xdr:rowOff>123825</xdr:rowOff>
    </xdr:from>
    <xdr:to>
      <xdr:col>12</xdr:col>
      <xdr:colOff>1393825</xdr:colOff>
      <xdr:row>100</xdr:row>
      <xdr:rowOff>104775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0A52B76-43BB-4F40-9E1C-8ACD61E523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587375</xdr:colOff>
      <xdr:row>87</xdr:row>
      <xdr:rowOff>53975</xdr:rowOff>
    </xdr:from>
    <xdr:to>
      <xdr:col>14</xdr:col>
      <xdr:colOff>682625</xdr:colOff>
      <xdr:row>102</xdr:row>
      <xdr:rowOff>34925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C770DF3-134B-4D88-857F-A9DF7CC76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536575</xdr:colOff>
      <xdr:row>91</xdr:row>
      <xdr:rowOff>66675</xdr:rowOff>
    </xdr:from>
    <xdr:to>
      <xdr:col>5</xdr:col>
      <xdr:colOff>155575</xdr:colOff>
      <xdr:row>106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2500C612-F7A8-41AA-BADD-CED6E38CA1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470145</xdr:colOff>
      <xdr:row>62</xdr:row>
      <xdr:rowOff>170106</xdr:rowOff>
    </xdr:from>
    <xdr:to>
      <xdr:col>12</xdr:col>
      <xdr:colOff>1384789</xdr:colOff>
      <xdr:row>77</xdr:row>
      <xdr:rowOff>165710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908638D-3534-4311-87C7-688994701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84"/>
  <sheetViews>
    <sheetView zoomScale="104" zoomScaleNormal="104" workbookViewId="0">
      <selection activeCell="F52" sqref="F52:F63"/>
    </sheetView>
  </sheetViews>
  <sheetFormatPr defaultRowHeight="15" x14ac:dyDescent="0.25"/>
  <cols>
    <col min="1" max="1" width="10" customWidth="1"/>
    <col min="2" max="2" width="27.7109375" customWidth="1"/>
    <col min="3" max="3" width="18.85546875" customWidth="1"/>
    <col min="4" max="10" width="11.5703125" customWidth="1"/>
    <col min="13" max="13" width="22.5703125" customWidth="1"/>
    <col min="14" max="14" width="12.42578125" customWidth="1"/>
    <col min="15" max="22" width="13.85546875" customWidth="1"/>
    <col min="23" max="23" width="12" customWidth="1"/>
    <col min="24" max="24" width="35.42578125" customWidth="1"/>
    <col min="25" max="25" width="8.7109375" customWidth="1"/>
    <col min="30" max="30" width="8.7109375" style="36"/>
    <col min="36" max="36" width="11.140625" bestFit="1" customWidth="1"/>
    <col min="37" max="37" width="11.140625" customWidth="1"/>
    <col min="38" max="38" width="11" customWidth="1"/>
    <col min="39" max="39" width="11.140625" customWidth="1"/>
    <col min="40" max="40" width="27.140625" customWidth="1"/>
    <col min="41" max="41" width="27.140625" style="36" customWidth="1"/>
    <col min="42" max="42" width="11.42578125" customWidth="1"/>
    <col min="52" max="52" width="10" customWidth="1"/>
    <col min="54" max="54" width="11.140625" bestFit="1" customWidth="1"/>
    <col min="58" max="58" width="27.42578125" customWidth="1"/>
    <col min="71" max="71" width="11.140625" bestFit="1" customWidth="1"/>
    <col min="75" max="75" width="27.5703125" customWidth="1"/>
    <col min="82" max="82" width="11.85546875" bestFit="1" customWidth="1"/>
    <col min="86" max="86" width="12.140625" bestFit="1" customWidth="1"/>
    <col min="90" max="90" width="28.28515625" customWidth="1"/>
    <col min="91" max="91" width="6.140625" customWidth="1"/>
    <col min="92" max="92" width="7.5703125" customWidth="1"/>
    <col min="93" max="93" width="6.28515625" customWidth="1"/>
    <col min="94" max="94" width="5.85546875" customWidth="1"/>
    <col min="101" max="101" width="12.140625" bestFit="1" customWidth="1"/>
    <col min="104" max="104" width="10.5703125" customWidth="1"/>
    <col min="105" max="105" width="26.85546875" customWidth="1"/>
    <col min="112" max="112" width="11.85546875" bestFit="1" customWidth="1"/>
    <col min="116" max="116" width="12.140625" bestFit="1" customWidth="1"/>
    <col min="117" max="117" width="12.140625" customWidth="1"/>
    <col min="119" max="119" width="26" customWidth="1"/>
    <col min="127" max="127" width="12.140625" bestFit="1" customWidth="1"/>
    <col min="130" max="130" width="26.5703125" customWidth="1"/>
    <col min="141" max="141" width="12.140625" bestFit="1" customWidth="1"/>
    <col min="144" max="144" width="27.42578125" customWidth="1"/>
    <col min="152" max="152" width="11.85546875" bestFit="1" customWidth="1"/>
    <col min="156" max="156" width="12.140625" bestFit="1" customWidth="1"/>
    <col min="159" max="159" width="26" customWidth="1"/>
    <col min="167" max="167" width="11.85546875" bestFit="1" customWidth="1"/>
  </cols>
  <sheetData>
    <row r="1" spans="1:170" x14ac:dyDescent="0.25">
      <c r="AN1">
        <v>14</v>
      </c>
    </row>
    <row r="2" spans="1:170" x14ac:dyDescent="0.25">
      <c r="B2" s="3" t="s">
        <v>113</v>
      </c>
      <c r="M2" s="3" t="s">
        <v>46</v>
      </c>
      <c r="X2" t="s">
        <v>220</v>
      </c>
      <c r="AN2" s="3" t="s">
        <v>1</v>
      </c>
      <c r="AO2" s="37"/>
      <c r="AP2" s="3"/>
      <c r="BF2" s="3" t="s">
        <v>13</v>
      </c>
      <c r="BG2" s="3"/>
      <c r="BW2" s="3" t="s">
        <v>273</v>
      </c>
      <c r="CL2" s="3" t="s">
        <v>267</v>
      </c>
      <c r="DA2" t="s">
        <v>272</v>
      </c>
      <c r="DO2" t="s">
        <v>372</v>
      </c>
      <c r="DZ2" s="3" t="s">
        <v>373</v>
      </c>
      <c r="EN2" s="3" t="s">
        <v>381</v>
      </c>
      <c r="FC2" s="3" t="s">
        <v>392</v>
      </c>
    </row>
    <row r="3" spans="1:170" x14ac:dyDescent="0.25">
      <c r="AN3" s="3"/>
      <c r="AO3" s="37"/>
      <c r="AP3" s="3"/>
      <c r="BF3" s="3"/>
      <c r="BG3" s="3"/>
    </row>
    <row r="4" spans="1:170" x14ac:dyDescent="0.25">
      <c r="B4" s="3" t="s">
        <v>0</v>
      </c>
      <c r="C4" s="3" t="s">
        <v>2</v>
      </c>
      <c r="D4" s="3" t="s">
        <v>48</v>
      </c>
      <c r="E4" s="3" t="s">
        <v>308</v>
      </c>
      <c r="F4" s="3" t="s">
        <v>311</v>
      </c>
      <c r="G4" s="3" t="s">
        <v>310</v>
      </c>
      <c r="H4" s="3" t="s">
        <v>565</v>
      </c>
      <c r="I4" s="3" t="s">
        <v>564</v>
      </c>
      <c r="J4" s="3" t="s">
        <v>566</v>
      </c>
      <c r="M4" s="3" t="s">
        <v>0</v>
      </c>
      <c r="N4" s="3" t="s">
        <v>2</v>
      </c>
      <c r="O4" s="3" t="s">
        <v>48</v>
      </c>
      <c r="P4" s="3" t="s">
        <v>308</v>
      </c>
      <c r="Q4" s="3" t="s">
        <v>311</v>
      </c>
      <c r="R4" s="3" t="s">
        <v>310</v>
      </c>
      <c r="S4" s="3" t="s">
        <v>312</v>
      </c>
      <c r="T4" s="3" t="s">
        <v>564</v>
      </c>
      <c r="U4" s="3"/>
      <c r="V4" s="3"/>
      <c r="X4" s="9" t="s">
        <v>180</v>
      </c>
      <c r="Y4" s="40" t="s">
        <v>181</v>
      </c>
      <c r="Z4" s="40"/>
      <c r="AA4" s="40"/>
      <c r="AB4" s="9"/>
      <c r="AC4" s="9" t="s">
        <v>182</v>
      </c>
      <c r="AD4" s="9"/>
      <c r="AE4" s="9" t="s">
        <v>308</v>
      </c>
      <c r="AF4" s="9" t="s">
        <v>311</v>
      </c>
      <c r="AG4" s="9" t="s">
        <v>310</v>
      </c>
      <c r="AH4" s="9" t="s">
        <v>312</v>
      </c>
      <c r="AI4" s="9" t="s">
        <v>564</v>
      </c>
      <c r="AJ4" s="9"/>
      <c r="AK4" s="9"/>
      <c r="AL4" s="9"/>
      <c r="AN4" s="3" t="s">
        <v>0</v>
      </c>
      <c r="AO4" s="37"/>
      <c r="AP4" s="3" t="s">
        <v>2</v>
      </c>
      <c r="AQ4" t="s">
        <v>3</v>
      </c>
      <c r="AW4" t="s">
        <v>308</v>
      </c>
      <c r="AX4" t="s">
        <v>311</v>
      </c>
      <c r="AY4" t="s">
        <v>310</v>
      </c>
      <c r="AZ4" t="s">
        <v>565</v>
      </c>
      <c r="BA4" t="s">
        <v>564</v>
      </c>
      <c r="BF4" s="3" t="s">
        <v>0</v>
      </c>
      <c r="BG4" s="3" t="s">
        <v>2</v>
      </c>
      <c r="BH4" t="s">
        <v>270</v>
      </c>
      <c r="BI4" t="s">
        <v>3</v>
      </c>
      <c r="BN4" t="s">
        <v>308</v>
      </c>
      <c r="BO4" t="s">
        <v>311</v>
      </c>
      <c r="BP4" t="s">
        <v>310</v>
      </c>
      <c r="BQ4" t="s">
        <v>312</v>
      </c>
      <c r="BR4" t="s">
        <v>564</v>
      </c>
      <c r="BW4" s="3" t="s">
        <v>0</v>
      </c>
      <c r="BX4" t="s">
        <v>280</v>
      </c>
      <c r="CA4" t="s">
        <v>251</v>
      </c>
      <c r="CB4" t="s">
        <v>270</v>
      </c>
      <c r="CC4" t="s">
        <v>308</v>
      </c>
      <c r="CD4" t="s">
        <v>311</v>
      </c>
      <c r="CE4" t="s">
        <v>310</v>
      </c>
      <c r="CF4" t="s">
        <v>312</v>
      </c>
      <c r="CG4" t="s">
        <v>564</v>
      </c>
      <c r="CL4" s="3" t="s">
        <v>0</v>
      </c>
      <c r="CM4" t="s">
        <v>280</v>
      </c>
      <c r="CP4" t="s">
        <v>251</v>
      </c>
      <c r="CQ4" t="s">
        <v>270</v>
      </c>
      <c r="CR4" t="s">
        <v>308</v>
      </c>
      <c r="CS4" t="s">
        <v>311</v>
      </c>
      <c r="CT4" t="s">
        <v>310</v>
      </c>
      <c r="CU4" t="s">
        <v>312</v>
      </c>
      <c r="CV4" t="s">
        <v>564</v>
      </c>
      <c r="DA4" s="3" t="s">
        <v>0</v>
      </c>
      <c r="DB4" t="s">
        <v>280</v>
      </c>
      <c r="DE4" t="s">
        <v>251</v>
      </c>
      <c r="DF4" t="s">
        <v>347</v>
      </c>
      <c r="DG4" t="s">
        <v>308</v>
      </c>
      <c r="DH4" t="s">
        <v>311</v>
      </c>
      <c r="DI4" t="s">
        <v>310</v>
      </c>
      <c r="DJ4" t="s">
        <v>312</v>
      </c>
      <c r="DK4" t="s">
        <v>564</v>
      </c>
      <c r="DO4" s="3" t="s">
        <v>0</v>
      </c>
      <c r="DP4" t="s">
        <v>251</v>
      </c>
      <c r="DQ4" t="s">
        <v>557</v>
      </c>
      <c r="DR4" t="s">
        <v>308</v>
      </c>
      <c r="DS4" t="s">
        <v>311</v>
      </c>
      <c r="DT4" t="s">
        <v>310</v>
      </c>
      <c r="DU4" t="s">
        <v>312</v>
      </c>
      <c r="DV4" t="s">
        <v>564</v>
      </c>
      <c r="DZ4" s="3" t="s">
        <v>0</v>
      </c>
      <c r="ED4" t="s">
        <v>380</v>
      </c>
      <c r="EE4" t="s">
        <v>270</v>
      </c>
      <c r="EF4" t="s">
        <v>308</v>
      </c>
      <c r="EG4" t="s">
        <v>311</v>
      </c>
      <c r="EH4" t="s">
        <v>310</v>
      </c>
      <c r="EI4" t="s">
        <v>312</v>
      </c>
      <c r="EJ4" t="s">
        <v>564</v>
      </c>
      <c r="EN4" s="3" t="s">
        <v>0</v>
      </c>
      <c r="EO4" t="s">
        <v>280</v>
      </c>
      <c r="ES4" t="s">
        <v>380</v>
      </c>
      <c r="ET4" t="s">
        <v>221</v>
      </c>
      <c r="EU4" t="s">
        <v>308</v>
      </c>
      <c r="EV4" t="s">
        <v>311</v>
      </c>
      <c r="EW4" t="s">
        <v>310</v>
      </c>
      <c r="EX4" t="s">
        <v>312</v>
      </c>
      <c r="EY4" t="s">
        <v>564</v>
      </c>
      <c r="FC4" s="3" t="s">
        <v>0</v>
      </c>
      <c r="FH4" t="s">
        <v>380</v>
      </c>
      <c r="FI4" t="s">
        <v>221</v>
      </c>
      <c r="FJ4" t="s">
        <v>406</v>
      </c>
      <c r="FK4" t="s">
        <v>311</v>
      </c>
      <c r="FL4" t="s">
        <v>310</v>
      </c>
      <c r="FM4" t="s">
        <v>312</v>
      </c>
      <c r="FN4" t="s">
        <v>564</v>
      </c>
    </row>
    <row r="5" spans="1:170" x14ac:dyDescent="0.25">
      <c r="A5" t="s">
        <v>303</v>
      </c>
      <c r="B5" s="5" t="s">
        <v>407</v>
      </c>
      <c r="C5">
        <v>1</v>
      </c>
      <c r="D5">
        <f>(C5/C32)*100</f>
        <v>0.125</v>
      </c>
      <c r="E5">
        <f t="shared" ref="E5:E31" si="0">C5/800</f>
        <v>1.25E-3</v>
      </c>
      <c r="F5">
        <f t="shared" ref="F5:F31" si="1">E5^2</f>
        <v>1.5625000000000001E-6</v>
      </c>
      <c r="G5">
        <f t="shared" ref="G5:G31" si="2">LN(E5)</f>
        <v>-6.6846117276679271</v>
      </c>
      <c r="H5">
        <f t="shared" ref="H5:H31" si="3">E5*G5</f>
        <v>-8.3557646595849092E-3</v>
      </c>
      <c r="I5">
        <f t="shared" ref="I5:I31" si="4">H5/LN(27)</f>
        <v>-2.5352482538721424E-3</v>
      </c>
      <c r="J5">
        <f t="shared" ref="J5:J31" si="5">((27-1)/(LN(800)))</f>
        <v>3.8895303211680581</v>
      </c>
      <c r="L5" t="s">
        <v>303</v>
      </c>
      <c r="M5" t="s">
        <v>70</v>
      </c>
      <c r="N5">
        <v>10</v>
      </c>
      <c r="O5">
        <f>N5/N46*100</f>
        <v>1.0582010582010581</v>
      </c>
      <c r="P5">
        <f>N5/945</f>
        <v>1.0582010582010581E-2</v>
      </c>
      <c r="Q5">
        <f>P5^2</f>
        <v>1.1197894795778393E-4</v>
      </c>
      <c r="R5">
        <f>LN(P5)</f>
        <v>-4.5485998344996972</v>
      </c>
      <c r="S5">
        <f>P5*R5</f>
        <v>-4.8133331582007374E-2</v>
      </c>
      <c r="T5">
        <f>S5/LN(41)</f>
        <v>-1.2961464249897907E-2</v>
      </c>
      <c r="U5">
        <f>((41-1)/(LN(945)))</f>
        <v>5.838406118550437</v>
      </c>
      <c r="W5" t="s">
        <v>315</v>
      </c>
      <c r="X5" t="s">
        <v>183</v>
      </c>
      <c r="Y5">
        <v>24</v>
      </c>
      <c r="Z5">
        <v>4</v>
      </c>
      <c r="AA5">
        <v>11</v>
      </c>
      <c r="AC5" s="9">
        <f>SUM(Y5:AA5)</f>
        <v>39</v>
      </c>
      <c r="AD5" s="15">
        <f>AC5/1095*100</f>
        <v>3.5616438356164384</v>
      </c>
      <c r="AE5" s="9">
        <f>AC5/1095</f>
        <v>3.5616438356164383E-2</v>
      </c>
      <c r="AF5" s="9">
        <f>AE5^2</f>
        <v>1.2685306811784575E-3</v>
      </c>
      <c r="AG5" s="9">
        <f>LN(AE5)</f>
        <v>-3.3349479961209547</v>
      </c>
      <c r="AH5" s="9">
        <f>AE5*AG5</f>
        <v>-0.11877896972485592</v>
      </c>
      <c r="AI5" s="9">
        <f>AH5/LN(48)</f>
        <v>-3.0682718203000097E-2</v>
      </c>
      <c r="AJ5" s="9">
        <f>((48-1)/(LN(1045)))</f>
        <v>6.7608659905015571</v>
      </c>
      <c r="AK5" s="9"/>
      <c r="AL5" s="9"/>
      <c r="AM5" t="s">
        <v>303</v>
      </c>
      <c r="AN5" s="1" t="s">
        <v>28</v>
      </c>
      <c r="AO5" s="2">
        <f>AP5/969*100</f>
        <v>1.1351909184726523</v>
      </c>
      <c r="AP5">
        <v>11</v>
      </c>
      <c r="AQ5">
        <v>5</v>
      </c>
      <c r="AR5">
        <v>1</v>
      </c>
      <c r="AS5">
        <v>2</v>
      </c>
      <c r="AT5">
        <v>2</v>
      </c>
      <c r="AU5">
        <v>1</v>
      </c>
      <c r="AW5">
        <f>AP5/976</f>
        <v>1.1270491803278689E-2</v>
      </c>
      <c r="AX5">
        <f>AW5^2</f>
        <v>1.2702398548777212E-4</v>
      </c>
      <c r="AY5">
        <f>LN(AW5)</f>
        <v>-4.4855673136147223</v>
      </c>
      <c r="AZ5">
        <f>AW5*AY5</f>
        <v>-5.0554549641149533E-2</v>
      </c>
      <c r="BA5">
        <f>AZ5/LN(61)</f>
        <v>-1.2297762303469741E-2</v>
      </c>
      <c r="BB5">
        <f>((61-1)/(LN(972)))</f>
        <v>8.7217468765167201</v>
      </c>
      <c r="BE5" t="s">
        <v>303</v>
      </c>
      <c r="BF5" t="s">
        <v>15</v>
      </c>
      <c r="BG5">
        <v>20</v>
      </c>
      <c r="BH5">
        <f>BG5/BG65*100</f>
        <v>2.4213075060532687</v>
      </c>
      <c r="BI5">
        <v>7</v>
      </c>
      <c r="BJ5">
        <v>5</v>
      </c>
      <c r="BK5">
        <v>3</v>
      </c>
      <c r="BL5">
        <v>3</v>
      </c>
      <c r="BM5">
        <v>2</v>
      </c>
      <c r="BN5">
        <f t="shared" ref="BN5:BN36" si="6">BG5/830</f>
        <v>2.4096385542168676E-2</v>
      </c>
      <c r="BO5">
        <f t="shared" ref="BO5:BO36" si="7">BN5^2</f>
        <v>5.8063579619683559E-4</v>
      </c>
      <c r="BP5">
        <f t="shared" ref="BP5:BP36" si="8">LN(BN5)</f>
        <v>-3.7256934272366524</v>
      </c>
      <c r="BQ5">
        <f t="shared" ref="BQ5:BQ36" si="9">BN5*BP5</f>
        <v>-8.9775745234618134E-2</v>
      </c>
      <c r="BR5">
        <f t="shared" ref="BR5:BR36" si="10">BQ5/LN(61)</f>
        <v>-2.1838603713196601E-2</v>
      </c>
      <c r="BS5">
        <f t="shared" ref="BS5:BS36" si="11">((61-1)/(LN(828)))</f>
        <v>8.9298827999525709</v>
      </c>
      <c r="BV5" t="s">
        <v>303</v>
      </c>
      <c r="BW5" t="s">
        <v>15</v>
      </c>
      <c r="BX5">
        <v>5</v>
      </c>
      <c r="BY5">
        <v>12</v>
      </c>
      <c r="BZ5">
        <v>25</v>
      </c>
      <c r="CA5">
        <f>SUM(BX5:BZ5)</f>
        <v>42</v>
      </c>
      <c r="CB5">
        <f>CA5/CA49*100</f>
        <v>0.46138635614632539</v>
      </c>
      <c r="CC5">
        <f>CA5/9006</f>
        <v>4.6635576282478344E-3</v>
      </c>
      <c r="CD5">
        <f>CC5^2</f>
        <v>2.1748769751988565E-5</v>
      </c>
      <c r="CE5">
        <f>LN(CC5)</f>
        <v>-5.3679766825781483</v>
      </c>
      <c r="CF5">
        <f>CC5*CE5</f>
        <v>-2.5033868606293828E-2</v>
      </c>
      <c r="CG5">
        <f>CF5/LN(45)</f>
        <v>-6.5763299671477531E-3</v>
      </c>
      <c r="CH5">
        <f>((45-1)/(LN(9104)))</f>
        <v>4.8264299747314352</v>
      </c>
      <c r="CK5" t="s">
        <v>303</v>
      </c>
      <c r="CL5" t="s">
        <v>15</v>
      </c>
      <c r="CM5">
        <v>14</v>
      </c>
      <c r="CN5">
        <v>13</v>
      </c>
      <c r="CO5">
        <v>14</v>
      </c>
      <c r="CP5">
        <f>SUM(CM5:CO5)</f>
        <v>41</v>
      </c>
      <c r="CQ5">
        <f>CP5/1116*100</f>
        <v>3.6738351254480288</v>
      </c>
      <c r="CR5">
        <f>CP5/1121</f>
        <v>3.6574487065120426E-2</v>
      </c>
      <c r="CS5">
        <f>CR5^2</f>
        <v>1.3376931040766614E-3</v>
      </c>
      <c r="CT5">
        <f>LN(CR5)</f>
        <v>-3.308404356367852</v>
      </c>
      <c r="CU5">
        <f>CR5*CT5</f>
        <v>-0.12100319233816408</v>
      </c>
      <c r="CV5">
        <f>CU5/LN(43)</f>
        <v>-3.2171431621859127E-2</v>
      </c>
      <c r="CW5">
        <f>((43-1)/(LN(1116)))</f>
        <v>5.9850321673386508</v>
      </c>
      <c r="CZ5" t="s">
        <v>303</v>
      </c>
      <c r="DA5" t="s">
        <v>15</v>
      </c>
      <c r="DB5">
        <v>2</v>
      </c>
      <c r="DE5">
        <f>SUM(DB5:DD5)</f>
        <v>2</v>
      </c>
      <c r="DF5">
        <f>DE5/742*100</f>
        <v>0.26954177897574128</v>
      </c>
      <c r="DG5">
        <f>DE5/744</f>
        <v>2.6881720430107529E-3</v>
      </c>
      <c r="DH5">
        <f>DG5^2</f>
        <v>7.2262689328246053E-6</v>
      </c>
      <c r="DI5">
        <f>LN(DG5)</f>
        <v>-5.9188938542731462</v>
      </c>
      <c r="DJ5">
        <f>DG5*DI5</f>
        <v>-1.5911004984605234E-2</v>
      </c>
      <c r="DK5">
        <f>DJ5/LN(57)</f>
        <v>-3.9353953068042924E-3</v>
      </c>
      <c r="DL5">
        <f>((57-1)/(LN(744)))</f>
        <v>8.4693969237312228</v>
      </c>
      <c r="DN5" t="s">
        <v>303</v>
      </c>
      <c r="DO5" t="s">
        <v>15</v>
      </c>
      <c r="DP5">
        <v>5</v>
      </c>
      <c r="DQ5">
        <f>DP5/387*100</f>
        <v>1.2919896640826873</v>
      </c>
      <c r="DR5">
        <f>DP5/387</f>
        <v>1.2919896640826873E-2</v>
      </c>
      <c r="DS5">
        <f>DR5^2</f>
        <v>1.6692372920964951E-4</v>
      </c>
      <c r="DT5">
        <f>LN(DR5)</f>
        <v>-4.3489867805956814</v>
      </c>
      <c r="DU5">
        <f>DR5*DT5</f>
        <v>-5.6188459697618619E-2</v>
      </c>
      <c r="DV5">
        <f>DU5/LN(37)</f>
        <v>-1.5560713662546985E-2</v>
      </c>
      <c r="DW5">
        <f>((37-1)/(LN(387)))</f>
        <v>6.0418654014563815</v>
      </c>
      <c r="DY5" t="s">
        <v>303</v>
      </c>
      <c r="DZ5" t="s">
        <v>15</v>
      </c>
      <c r="EA5">
        <v>4</v>
      </c>
      <c r="EB5">
        <v>14</v>
      </c>
      <c r="EC5">
        <v>5</v>
      </c>
      <c r="ED5">
        <f>SUM(EA5:EC5)</f>
        <v>23</v>
      </c>
      <c r="EE5">
        <f>ED5/1193*100</f>
        <v>1.9279128248113997</v>
      </c>
      <c r="EF5">
        <f>ED5/1193</f>
        <v>1.9279128248113998E-2</v>
      </c>
      <c r="EG5">
        <f>EF5^2</f>
        <v>3.7168478600722708E-4</v>
      </c>
      <c r="EH5">
        <f>LN(EF5)</f>
        <v>-3.9487322061687666</v>
      </c>
      <c r="EI5">
        <f>EF5*EH5</f>
        <v>-7.6128114620185774E-2</v>
      </c>
      <c r="EJ5">
        <f>EI5/LN(48)</f>
        <v>-1.9665244559938743E-2</v>
      </c>
      <c r="EK5">
        <f>((48-1)/(LN(1193)))</f>
        <v>6.6344576245322022</v>
      </c>
      <c r="EM5" t="s">
        <v>303</v>
      </c>
      <c r="EN5" t="s">
        <v>15</v>
      </c>
      <c r="EO5">
        <v>9</v>
      </c>
      <c r="EP5">
        <v>18</v>
      </c>
      <c r="EQ5">
        <v>1</v>
      </c>
      <c r="ER5">
        <v>18</v>
      </c>
      <c r="ES5">
        <f>SUM(EO5:ER5)</f>
        <v>46</v>
      </c>
      <c r="ET5">
        <f>ES5/7986*100</f>
        <v>0.57600801402454294</v>
      </c>
      <c r="EU5">
        <f>ES5/7986</f>
        <v>5.7600801402454297E-3</v>
      </c>
      <c r="EV5">
        <f>EU5^2</f>
        <v>3.3178523222049806E-5</v>
      </c>
      <c r="EW5">
        <f>LN(EU5)</f>
        <v>-5.1568038911340714</v>
      </c>
      <c r="EX5">
        <f>EU5*EW5</f>
        <v>-2.970360368046172E-2</v>
      </c>
      <c r="EY5">
        <f>EX5/LN(49)</f>
        <v>-7.6323163468986523E-3</v>
      </c>
      <c r="EZ5">
        <f>((49-1)/(LN(7986)))</f>
        <v>5.3419723189586055</v>
      </c>
      <c r="FB5" t="s">
        <v>303</v>
      </c>
      <c r="FC5" t="s">
        <v>15</v>
      </c>
      <c r="FD5">
        <v>1</v>
      </c>
      <c r="FE5">
        <v>5</v>
      </c>
      <c r="FF5">
        <v>5</v>
      </c>
      <c r="FG5">
        <v>4</v>
      </c>
      <c r="FH5">
        <f>SUM(FD5:FG5)</f>
        <v>15</v>
      </c>
      <c r="FI5">
        <f>FH5/5649*100</f>
        <v>0.26553372278279341</v>
      </c>
      <c r="FJ5">
        <f>FH5/5649</f>
        <v>2.6553372278279343E-3</v>
      </c>
      <c r="FK5">
        <f>FJ5^2</f>
        <v>7.0508157934889391E-6</v>
      </c>
      <c r="FL5">
        <f>LN(FJ5)</f>
        <v>-5.931183616223052</v>
      </c>
      <c r="FM5">
        <f>FJ5*FL5</f>
        <v>-1.5749292661240182E-2</v>
      </c>
      <c r="FN5">
        <f>FM5/LN(50)</f>
        <v>-4.0258691320033593E-3</v>
      </c>
    </row>
    <row r="6" spans="1:170" x14ac:dyDescent="0.25">
      <c r="A6" t="s">
        <v>303</v>
      </c>
      <c r="B6" t="s">
        <v>115</v>
      </c>
      <c r="C6">
        <v>73</v>
      </c>
      <c r="D6">
        <f>(C6/C32)*100</f>
        <v>9.125</v>
      </c>
      <c r="E6">
        <f t="shared" si="0"/>
        <v>9.1249999999999998E-2</v>
      </c>
      <c r="F6">
        <f t="shared" si="1"/>
        <v>8.3265624999999989E-3</v>
      </c>
      <c r="G6">
        <f t="shared" si="2"/>
        <v>-2.3941522865195362</v>
      </c>
      <c r="H6">
        <f t="shared" si="3"/>
        <v>-0.21846639614490768</v>
      </c>
      <c r="I6">
        <f t="shared" si="4"/>
        <v>-6.6285561156964351E-2</v>
      </c>
      <c r="J6">
        <f t="shared" si="5"/>
        <v>3.8895303211680581</v>
      </c>
      <c r="L6" t="s">
        <v>303</v>
      </c>
      <c r="M6" t="s">
        <v>71</v>
      </c>
      <c r="N6">
        <v>47</v>
      </c>
      <c r="O6">
        <f>N6/N46*100</f>
        <v>4.9735449735449739</v>
      </c>
      <c r="P6">
        <f t="shared" ref="P6:P45" si="12">N6/945</f>
        <v>4.9735449735449737E-2</v>
      </c>
      <c r="Q6">
        <f t="shared" ref="Q6:Q45" si="13">P6^2</f>
        <v>2.4736149603874474E-3</v>
      </c>
      <c r="R6">
        <f t="shared" ref="R6:R45" si="14">LN(P6)</f>
        <v>-3.0010373257836842</v>
      </c>
      <c r="S6">
        <f t="shared" ref="S6:S45" si="15">P6*R6</f>
        <v>-0.14925794107072293</v>
      </c>
      <c r="T6">
        <f t="shared" ref="T6:T45" si="16">S6/LN(41)</f>
        <v>-4.0192552720051344E-2</v>
      </c>
      <c r="U6">
        <f t="shared" ref="U6:U45" si="17">((41-1)/(LN(945)))</f>
        <v>5.838406118550437</v>
      </c>
      <c r="W6" t="s">
        <v>303</v>
      </c>
      <c r="X6" t="s">
        <v>115</v>
      </c>
      <c r="Y6">
        <v>15</v>
      </c>
      <c r="Z6">
        <v>17</v>
      </c>
      <c r="AA6">
        <v>38</v>
      </c>
      <c r="AC6" s="9">
        <f>SUM(Y6:AA6)</f>
        <v>70</v>
      </c>
      <c r="AD6" s="9">
        <f t="shared" ref="AD6:AD54" si="18">AC6/1095*100</f>
        <v>6.3926940639269407</v>
      </c>
      <c r="AE6" s="9">
        <f t="shared" ref="AE6:AE52" si="19">AC6/1095</f>
        <v>6.3926940639269403E-2</v>
      </c>
      <c r="AF6" s="9">
        <f t="shared" ref="AF6:AF52" si="20">AE6^2</f>
        <v>4.086653739496674E-3</v>
      </c>
      <c r="AG6" s="9">
        <f t="shared" ref="AG6:AG52" si="21">LN(AE6)</f>
        <v>-2.7500144002012421</v>
      </c>
      <c r="AH6" s="9">
        <f t="shared" ref="AH6:AH52" si="22">AE6*AG6</f>
        <v>-0.17580000731880085</v>
      </c>
      <c r="AI6" s="9">
        <f t="shared" ref="AI6:AI52" si="23">AH6/LN(48)</f>
        <v>-4.5412265295304691E-2</v>
      </c>
      <c r="AJ6" s="9">
        <f t="shared" ref="AJ6:AJ52" si="24">((48-1)/(LN(1045)))</f>
        <v>6.7608659905015571</v>
      </c>
      <c r="AK6" s="9"/>
      <c r="AL6" s="9"/>
      <c r="AM6" t="s">
        <v>303</v>
      </c>
      <c r="AN6" t="s">
        <v>4</v>
      </c>
      <c r="AO6" s="2">
        <f t="shared" ref="AO6:AO66" si="25">AP6/969*100</f>
        <v>17.131062951496386</v>
      </c>
      <c r="AP6">
        <v>166</v>
      </c>
      <c r="AQ6">
        <v>42</v>
      </c>
      <c r="AR6">
        <v>32</v>
      </c>
      <c r="AS6">
        <v>47</v>
      </c>
      <c r="AT6">
        <v>45</v>
      </c>
      <c r="AW6">
        <f t="shared" ref="AW6:AW61" si="26">AP6/976</f>
        <v>0.17008196721311475</v>
      </c>
      <c r="AX6">
        <f t="shared" ref="AX6:AX62" si="27">AW6^2</f>
        <v>2.8927875571083041E-2</v>
      </c>
      <c r="AY6">
        <f t="shared" ref="AY6:AY62" si="28">LN(AW6)</f>
        <v>-1.7714747980565493</v>
      </c>
      <c r="AZ6">
        <f t="shared" ref="AZ6:AZ62" si="29">AW6*AY6</f>
        <v>-0.30129591852191306</v>
      </c>
      <c r="BA6">
        <f t="shared" ref="BA6:BA64" si="30">AZ6/LN(61)</f>
        <v>-7.3292426008916986E-2</v>
      </c>
      <c r="BB6">
        <f t="shared" ref="BB6:BB64" si="31">((61-1)/(LN(972)))</f>
        <v>8.7217468765167201</v>
      </c>
      <c r="BE6" t="s">
        <v>315</v>
      </c>
      <c r="BF6" t="s">
        <v>16</v>
      </c>
      <c r="BG6">
        <v>17</v>
      </c>
      <c r="BH6">
        <f>BG6/BG65*100</f>
        <v>2.0581113801452786</v>
      </c>
      <c r="BI6">
        <v>8</v>
      </c>
      <c r="BJ6">
        <v>4</v>
      </c>
      <c r="BK6">
        <v>4</v>
      </c>
      <c r="BL6">
        <v>1</v>
      </c>
      <c r="BN6">
        <f t="shared" si="6"/>
        <v>2.0481927710843374E-2</v>
      </c>
      <c r="BO6">
        <f t="shared" si="7"/>
        <v>4.1950936275221372E-4</v>
      </c>
      <c r="BP6">
        <f t="shared" si="8"/>
        <v>-3.8882123567344276</v>
      </c>
      <c r="BQ6">
        <f t="shared" si="9"/>
        <v>-7.9638084415042498E-2</v>
      </c>
      <c r="BR6">
        <f t="shared" si="10"/>
        <v>-1.9372543903401318E-2</v>
      </c>
      <c r="BS6">
        <f t="shared" si="11"/>
        <v>8.9298827999525709</v>
      </c>
      <c r="BV6" t="s">
        <v>315</v>
      </c>
      <c r="BW6" t="s">
        <v>16</v>
      </c>
      <c r="BX6">
        <v>3</v>
      </c>
      <c r="BY6">
        <v>25</v>
      </c>
      <c r="BZ6">
        <v>17</v>
      </c>
      <c r="CA6">
        <f t="shared" ref="CA6:CA48" si="32">SUM(BX6:BZ6)</f>
        <v>45</v>
      </c>
      <c r="CB6">
        <f>CA6/CA49*100</f>
        <v>0.49434252444249149</v>
      </c>
      <c r="CC6">
        <f t="shared" ref="CC6:CC48" si="33">CA6/9006</f>
        <v>4.9966688874083943E-3</v>
      </c>
      <c r="CD6">
        <f t="shared" ref="CD6:CD48" si="34">CC6^2</f>
        <v>2.4966699970395039E-5</v>
      </c>
      <c r="CE6">
        <f t="shared" ref="CE6:CE48" si="35">LN(CC6)</f>
        <v>-5.2989838110911975</v>
      </c>
      <c r="CF6">
        <f t="shared" ref="CF6:CF48" si="36">CC6*CE6</f>
        <v>-2.6477267543760147E-2</v>
      </c>
      <c r="CG6">
        <f t="shared" ref="CG6:CG48" si="37">CF6/LN(45)</f>
        <v>-6.9555069867404213E-3</v>
      </c>
      <c r="CH6">
        <f t="shared" ref="CH6:CH48" si="38">((45-1)/(LN(9104)))</f>
        <v>4.8264299747314352</v>
      </c>
      <c r="CK6" t="s">
        <v>315</v>
      </c>
      <c r="CL6" t="s">
        <v>16</v>
      </c>
      <c r="CM6">
        <v>19</v>
      </c>
      <c r="CN6">
        <v>13</v>
      </c>
      <c r="CO6">
        <v>11</v>
      </c>
      <c r="CP6">
        <f t="shared" ref="CP6:CP47" si="39">SUM(CM6:CO6)</f>
        <v>43</v>
      </c>
      <c r="CQ6" s="36">
        <f t="shared" ref="CQ6:CQ48" si="40">CP6/1116*100</f>
        <v>3.8530465949820791</v>
      </c>
      <c r="CR6">
        <f t="shared" ref="CR6:CR47" si="41">CP6/1121</f>
        <v>3.8358608385370203E-2</v>
      </c>
      <c r="CS6">
        <f t="shared" ref="CS6:CS47" si="42">CR6^2</f>
        <v>1.4713828372621932E-3</v>
      </c>
      <c r="CT6">
        <f t="shared" ref="CT6:CT47" si="43">LN(CR6)</f>
        <v>-3.2607763073785976</v>
      </c>
      <c r="CU6">
        <f t="shared" ref="CU6:CU47" si="44">CR6*CT6</f>
        <v>-0.12507884140702916</v>
      </c>
      <c r="CV6">
        <f t="shared" ref="CV6:CV49" si="45">CU6/LN(43)</f>
        <v>-3.3255034978101589E-2</v>
      </c>
      <c r="CW6">
        <f t="shared" ref="CW6:CW47" si="46">((43-1)/(LN(1116)))</f>
        <v>5.9850321673386508</v>
      </c>
      <c r="CZ6" t="s">
        <v>315</v>
      </c>
      <c r="DA6" t="s">
        <v>16</v>
      </c>
      <c r="DB6">
        <v>10</v>
      </c>
      <c r="DC6">
        <v>17</v>
      </c>
      <c r="DD6">
        <v>29</v>
      </c>
      <c r="DE6">
        <f t="shared" ref="DE6:DE60" si="47">SUM(DB6:DD6)</f>
        <v>56</v>
      </c>
      <c r="DF6" s="36">
        <f t="shared" ref="DF6:DF61" si="48">DE6/742*100</f>
        <v>7.5471698113207548</v>
      </c>
      <c r="DG6">
        <f t="shared" ref="DG6:DG60" si="49">DE6/744</f>
        <v>7.5268817204301078E-2</v>
      </c>
      <c r="DH6">
        <f t="shared" ref="DH6:DH60" si="50">DG6^2</f>
        <v>5.6653948433344897E-3</v>
      </c>
      <c r="DI6">
        <f t="shared" ref="DI6:DI60" si="51">LN(DG6)</f>
        <v>-2.5866893440979424</v>
      </c>
      <c r="DJ6">
        <f t="shared" ref="DJ6:DJ60" si="52">DG6*DI6</f>
        <v>-0.19469704740522148</v>
      </c>
      <c r="DK6">
        <f t="shared" ref="DK6:DK62" si="53">DJ6/LN(57)</f>
        <v>-4.8155967982444307E-2</v>
      </c>
      <c r="DL6">
        <f t="shared" ref="DL6:DL60" si="54">((57-1)/(LN(744)))</f>
        <v>8.4693969237312228</v>
      </c>
      <c r="DN6" t="s">
        <v>315</v>
      </c>
      <c r="DO6" t="s">
        <v>16</v>
      </c>
      <c r="DP6">
        <v>12</v>
      </c>
      <c r="DQ6">
        <f t="shared" ref="DQ6:DQ41" si="55">DP6/387*100</f>
        <v>3.1007751937984498</v>
      </c>
      <c r="DR6">
        <f t="shared" ref="DR6:DR41" si="56">DP6/387</f>
        <v>3.1007751937984496E-2</v>
      </c>
      <c r="DS6">
        <f t="shared" ref="DS6:DS41" si="57">DR6^2</f>
        <v>9.6148068024758126E-4</v>
      </c>
      <c r="DT6">
        <f t="shared" ref="DT6:DT41" si="58">LN(DR6)</f>
        <v>-3.4735180432417816</v>
      </c>
      <c r="DU6">
        <f t="shared" ref="DU6:DU41" si="59">DR6*DT6</f>
        <v>-0.10770598583695447</v>
      </c>
      <c r="DV6">
        <f t="shared" ref="DV6:DV43" si="60">DU6/LN(37)</f>
        <v>-2.98278688252104E-2</v>
      </c>
      <c r="DW6">
        <f t="shared" ref="DW6:DW41" si="61">((37-1)/(LN(387)))</f>
        <v>6.0418654014563815</v>
      </c>
      <c r="DY6" t="s">
        <v>315</v>
      </c>
      <c r="DZ6" t="s">
        <v>16</v>
      </c>
      <c r="EA6">
        <v>3</v>
      </c>
      <c r="EB6">
        <v>1</v>
      </c>
      <c r="ED6">
        <f t="shared" ref="ED6:ED52" si="62">SUM(EA6:EC6)</f>
        <v>4</v>
      </c>
      <c r="EE6">
        <f t="shared" ref="EE6:EE52" si="63">ED6/1193*100</f>
        <v>0.33528918692372173</v>
      </c>
      <c r="EF6">
        <f t="shared" ref="EF6:EF52" si="64">ED6/1193</f>
        <v>3.3528918692372171E-3</v>
      </c>
      <c r="EG6">
        <f t="shared" ref="EG6:EG52" si="65">EF6^2</f>
        <v>1.1241883886797039E-5</v>
      </c>
      <c r="EH6">
        <f t="shared" ref="EH6:EH52" si="66">LN(EF6)</f>
        <v>-5.6979320609780251</v>
      </c>
      <c r="EI6">
        <f t="shared" ref="EI6:EI52" si="67">EF6*EH6</f>
        <v>-1.9104550078719279E-2</v>
      </c>
      <c r="EJ6">
        <f t="shared" ref="EJ6:EJ54" si="68">EI6/LN(48)</f>
        <v>-4.9350447121935407E-3</v>
      </c>
      <c r="EK6">
        <f t="shared" ref="EK6:EK52" si="69">((48-1)/(LN(1193)))</f>
        <v>6.6344576245322022</v>
      </c>
      <c r="EM6" t="s">
        <v>315</v>
      </c>
      <c r="EN6" t="s">
        <v>16</v>
      </c>
      <c r="EO6">
        <v>13</v>
      </c>
      <c r="EP6">
        <v>1</v>
      </c>
      <c r="EQ6">
        <v>21</v>
      </c>
      <c r="ER6">
        <v>9</v>
      </c>
      <c r="ES6">
        <f t="shared" ref="ES6:ES44" si="70">SUM(EO6:ER6)</f>
        <v>44</v>
      </c>
      <c r="ET6">
        <f t="shared" ref="ET6:ET53" si="71">ES6/7986*100</f>
        <v>0.55096418732782371</v>
      </c>
      <c r="EU6">
        <f t="shared" ref="EU6:EU53" si="72">ES6/7986</f>
        <v>5.5096418732782371E-3</v>
      </c>
      <c r="EV6">
        <f t="shared" ref="EV6:EV53" si="73">EU6^2</f>
        <v>3.0356153571780921E-5</v>
      </c>
      <c r="EW6">
        <f t="shared" ref="EW6:EW53" si="74">LN(EU6)</f>
        <v>-5.2012556537049051</v>
      </c>
      <c r="EX6">
        <f t="shared" ref="EX6:EX53" si="75">EU6*EW6</f>
        <v>-2.8657055943277714E-2</v>
      </c>
      <c r="EY6">
        <f t="shared" ref="EY6:EY55" si="76">EX6/LN(49)</f>
        <v>-7.3634067732238151E-3</v>
      </c>
      <c r="EZ6">
        <f t="shared" ref="EZ6:EZ53" si="77">((49-1)/(LN(7986)))</f>
        <v>5.3419723189586055</v>
      </c>
      <c r="FB6" t="s">
        <v>303</v>
      </c>
      <c r="FC6" t="s">
        <v>16</v>
      </c>
      <c r="FD6">
        <v>4</v>
      </c>
      <c r="FE6">
        <v>9</v>
      </c>
      <c r="FF6">
        <v>3</v>
      </c>
      <c r="FG6">
        <v>3</v>
      </c>
      <c r="FH6">
        <f t="shared" ref="FH6:FH45" si="78">SUM(FD6:FG6)</f>
        <v>19</v>
      </c>
      <c r="FI6">
        <f t="shared" ref="FI6:FI54" si="79">FH6/5649*100</f>
        <v>0.33634271552487166</v>
      </c>
      <c r="FJ6">
        <f t="shared" ref="FJ6:FJ54" si="80">FH6/5649</f>
        <v>3.3634271552487167E-3</v>
      </c>
      <c r="FK6">
        <f t="shared" ref="FK6:FK54" si="81">FJ6^2</f>
        <v>1.1312642228664475E-5</v>
      </c>
      <c r="FL6">
        <f t="shared" ref="FL6:FL54" si="82">LN(FJ6)</f>
        <v>-5.6947948381588214</v>
      </c>
      <c r="FM6">
        <f t="shared" ref="FM6:FM54" si="83">FJ6*FL6</f>
        <v>-1.91540276022336E-2</v>
      </c>
      <c r="FN6">
        <f t="shared" ref="FN6:FN56" si="84">FM6/LN(50)</f>
        <v>-4.8961950314853307E-3</v>
      </c>
    </row>
    <row r="7" spans="1:170" x14ac:dyDescent="0.25">
      <c r="A7" t="s">
        <v>303</v>
      </c>
      <c r="B7" t="s">
        <v>78</v>
      </c>
      <c r="C7">
        <v>43</v>
      </c>
      <c r="D7">
        <f>(C7/C32)*100</f>
        <v>5.375</v>
      </c>
      <c r="E7">
        <f t="shared" si="0"/>
        <v>5.3749999999999999E-2</v>
      </c>
      <c r="F7">
        <f t="shared" si="1"/>
        <v>2.8890624999999997E-3</v>
      </c>
      <c r="G7">
        <f t="shared" si="2"/>
        <v>-2.9234116119743647</v>
      </c>
      <c r="H7">
        <f t="shared" si="3"/>
        <v>-0.15713337414362211</v>
      </c>
      <c r="I7">
        <f t="shared" si="4"/>
        <v>-4.7676320319252022E-2</v>
      </c>
      <c r="J7">
        <f t="shared" si="5"/>
        <v>3.8895303211680581</v>
      </c>
      <c r="L7" t="s">
        <v>303</v>
      </c>
      <c r="M7" s="1" t="s">
        <v>49</v>
      </c>
      <c r="N7">
        <v>3</v>
      </c>
      <c r="O7">
        <f>N7/N46*100</f>
        <v>0.31746031746031744</v>
      </c>
      <c r="P7">
        <f t="shared" si="12"/>
        <v>3.1746031746031746E-3</v>
      </c>
      <c r="Q7">
        <f t="shared" si="13"/>
        <v>1.0078105316200555E-5</v>
      </c>
      <c r="R7">
        <f t="shared" si="14"/>
        <v>-5.7525726388256331</v>
      </c>
      <c r="S7">
        <f t="shared" si="15"/>
        <v>-1.8262135361351215E-2</v>
      </c>
      <c r="T7">
        <f t="shared" si="16"/>
        <v>-4.9176736127160585E-3</v>
      </c>
      <c r="U7">
        <f t="shared" si="17"/>
        <v>5.838406118550437</v>
      </c>
      <c r="W7" t="s">
        <v>315</v>
      </c>
      <c r="X7" s="10" t="s">
        <v>420</v>
      </c>
      <c r="Y7">
        <v>30</v>
      </c>
      <c r="Z7">
        <v>25</v>
      </c>
      <c r="AA7">
        <v>8</v>
      </c>
      <c r="AC7" s="9">
        <f>SUM(Y7:AA7)</f>
        <v>63</v>
      </c>
      <c r="AD7" s="9">
        <f t="shared" si="18"/>
        <v>5.7534246575342465</v>
      </c>
      <c r="AE7" s="9">
        <f t="shared" si="19"/>
        <v>5.7534246575342465E-2</v>
      </c>
      <c r="AF7" s="9">
        <f t="shared" si="20"/>
        <v>3.3101895289923064E-3</v>
      </c>
      <c r="AG7" s="9">
        <f t="shared" si="21"/>
        <v>-2.8553749158590684</v>
      </c>
      <c r="AH7" s="9">
        <f t="shared" si="22"/>
        <v>-0.16428184447408339</v>
      </c>
      <c r="AI7" s="9">
        <f t="shared" si="23"/>
        <v>-4.2436919191534125E-2</v>
      </c>
      <c r="AJ7" s="9">
        <f t="shared" si="24"/>
        <v>6.7608659905015571</v>
      </c>
      <c r="AK7" s="9"/>
      <c r="AL7" s="9"/>
      <c r="AM7" t="s">
        <v>303</v>
      </c>
      <c r="AN7" s="1" t="s">
        <v>432</v>
      </c>
      <c r="AO7" s="2">
        <f t="shared" si="25"/>
        <v>1.6511867905056758</v>
      </c>
      <c r="AP7">
        <v>16</v>
      </c>
      <c r="AQ7">
        <v>2</v>
      </c>
      <c r="AR7">
        <v>7</v>
      </c>
      <c r="AS7">
        <v>1</v>
      </c>
      <c r="AT7">
        <v>1</v>
      </c>
      <c r="AU7">
        <v>2</v>
      </c>
      <c r="AV7">
        <v>3</v>
      </c>
      <c r="AW7">
        <f t="shared" si="26"/>
        <v>1.6393442622950821E-2</v>
      </c>
      <c r="AX7">
        <f t="shared" si="27"/>
        <v>2.6874496103198068E-4</v>
      </c>
      <c r="AY7">
        <f t="shared" si="28"/>
        <v>-4.1108738641733114</v>
      </c>
      <c r="AZ7">
        <f t="shared" si="29"/>
        <v>-6.7391374822513297E-2</v>
      </c>
      <c r="BA7">
        <f t="shared" si="30"/>
        <v>-1.6393442622950821E-2</v>
      </c>
      <c r="BB7">
        <f t="shared" si="31"/>
        <v>8.7217468765167201</v>
      </c>
      <c r="BE7" t="s">
        <v>303</v>
      </c>
      <c r="BF7" t="s">
        <v>7</v>
      </c>
      <c r="BG7">
        <v>97</v>
      </c>
      <c r="BH7">
        <f>BG7/BG65*100</f>
        <v>11.743341404358354</v>
      </c>
      <c r="BI7">
        <v>31</v>
      </c>
      <c r="BJ7">
        <v>30</v>
      </c>
      <c r="BK7">
        <v>7</v>
      </c>
      <c r="BL7">
        <v>29</v>
      </c>
      <c r="BN7">
        <f t="shared" si="6"/>
        <v>0.11686746987951807</v>
      </c>
      <c r="BO7">
        <f t="shared" si="7"/>
        <v>1.3658005516040064E-2</v>
      </c>
      <c r="BP7">
        <f t="shared" si="8"/>
        <v>-2.1467147222872609</v>
      </c>
      <c r="BQ7">
        <f t="shared" si="9"/>
        <v>-0.25088111814682446</v>
      </c>
      <c r="BR7">
        <f t="shared" si="10"/>
        <v>-6.102865873197405E-2</v>
      </c>
      <c r="BS7">
        <f t="shared" si="11"/>
        <v>8.9298827999525709</v>
      </c>
      <c r="BV7" t="s">
        <v>303</v>
      </c>
      <c r="BW7" t="s">
        <v>7</v>
      </c>
      <c r="BX7">
        <v>6</v>
      </c>
      <c r="BY7">
        <v>23</v>
      </c>
      <c r="BZ7">
        <v>80</v>
      </c>
      <c r="CA7">
        <f t="shared" si="32"/>
        <v>109</v>
      </c>
      <c r="CB7">
        <f>CA7/CA49*100</f>
        <v>1.1974074480940349</v>
      </c>
      <c r="CC7">
        <f t="shared" si="33"/>
        <v>1.2103042416167E-2</v>
      </c>
      <c r="CD7">
        <f t="shared" si="34"/>
        <v>1.4648363572753752E-4</v>
      </c>
      <c r="CE7">
        <f t="shared" si="35"/>
        <v>-4.4142984186323728</v>
      </c>
      <c r="CF7">
        <f t="shared" si="36"/>
        <v>-5.3426440998326517E-2</v>
      </c>
      <c r="CG7">
        <f t="shared" si="37"/>
        <v>-1.4034982387301186E-2</v>
      </c>
      <c r="CH7">
        <f t="shared" si="38"/>
        <v>4.8264299747314352</v>
      </c>
      <c r="CK7" t="s">
        <v>303</v>
      </c>
      <c r="CL7" t="s">
        <v>7</v>
      </c>
      <c r="CM7">
        <v>20</v>
      </c>
      <c r="CN7">
        <v>21</v>
      </c>
      <c r="CO7">
        <v>15</v>
      </c>
      <c r="CP7">
        <f t="shared" si="39"/>
        <v>56</v>
      </c>
      <c r="CQ7" s="36">
        <f t="shared" si="40"/>
        <v>5.0179211469534053</v>
      </c>
      <c r="CR7">
        <f t="shared" si="41"/>
        <v>4.9955396966993755E-2</v>
      </c>
      <c r="CS7">
        <f t="shared" si="42"/>
        <v>2.4955416861299289E-3</v>
      </c>
      <c r="CT7">
        <f t="shared" si="43"/>
        <v>-2.9966247323370108</v>
      </c>
      <c r="CU7">
        <f t="shared" si="44"/>
        <v>-0.14969757806500678</v>
      </c>
      <c r="CV7">
        <f t="shared" si="45"/>
        <v>-3.980048214940636E-2</v>
      </c>
      <c r="CW7">
        <f t="shared" si="46"/>
        <v>5.9850321673386508</v>
      </c>
      <c r="CZ7" t="s">
        <v>303</v>
      </c>
      <c r="DA7" t="s">
        <v>7</v>
      </c>
      <c r="DB7">
        <v>9</v>
      </c>
      <c r="DC7">
        <v>5</v>
      </c>
      <c r="DD7">
        <v>38</v>
      </c>
      <c r="DE7">
        <f t="shared" si="47"/>
        <v>52</v>
      </c>
      <c r="DF7" s="36">
        <f t="shared" si="48"/>
        <v>7.0080862533692727</v>
      </c>
      <c r="DG7">
        <f t="shared" si="49"/>
        <v>6.9892473118279563E-2</v>
      </c>
      <c r="DH7">
        <f t="shared" si="50"/>
        <v>4.8849577985894312E-3</v>
      </c>
      <c r="DI7">
        <f t="shared" si="51"/>
        <v>-2.6607973162516645</v>
      </c>
      <c r="DJ7">
        <f t="shared" si="52"/>
        <v>-0.18596970489930986</v>
      </c>
      <c r="DK7">
        <f t="shared" si="53"/>
        <v>-4.5997365004702216E-2</v>
      </c>
      <c r="DL7">
        <f t="shared" si="54"/>
        <v>8.4693969237312228</v>
      </c>
      <c r="DN7" t="s">
        <v>303</v>
      </c>
      <c r="DO7" t="s">
        <v>7</v>
      </c>
      <c r="DP7">
        <v>69</v>
      </c>
      <c r="DQ7">
        <f t="shared" si="55"/>
        <v>17.829457364341085</v>
      </c>
      <c r="DR7">
        <f t="shared" si="56"/>
        <v>0.17829457364341086</v>
      </c>
      <c r="DS7">
        <f t="shared" si="57"/>
        <v>3.178895499068566E-2</v>
      </c>
      <c r="DT7">
        <f t="shared" si="58"/>
        <v>-1.7243181884325223</v>
      </c>
      <c r="DU7">
        <f t="shared" si="59"/>
        <v>-0.30743657623215515</v>
      </c>
      <c r="DV7">
        <f t="shared" si="60"/>
        <v>-8.514083777856464E-2</v>
      </c>
      <c r="DW7">
        <f t="shared" si="61"/>
        <v>6.0418654014563815</v>
      </c>
      <c r="DY7" t="s">
        <v>303</v>
      </c>
      <c r="DZ7" t="s">
        <v>17</v>
      </c>
      <c r="EA7">
        <v>70</v>
      </c>
      <c r="EB7">
        <v>85</v>
      </c>
      <c r="EC7">
        <v>111</v>
      </c>
      <c r="ED7">
        <f t="shared" si="62"/>
        <v>266</v>
      </c>
      <c r="EE7">
        <f t="shared" si="63"/>
        <v>22.296730930427493</v>
      </c>
      <c r="EF7">
        <f t="shared" si="64"/>
        <v>0.22296730930427494</v>
      </c>
      <c r="EG7">
        <f t="shared" si="65"/>
        <v>4.9714421018388209E-2</v>
      </c>
      <c r="EH7">
        <f t="shared" si="66"/>
        <v>-1.500730113316217</v>
      </c>
      <c r="EI7">
        <f t="shared" si="67"/>
        <v>-0.33461375535801652</v>
      </c>
      <c r="EJ7">
        <f t="shared" si="68"/>
        <v>-8.6436678027096661E-2</v>
      </c>
      <c r="EK7">
        <f t="shared" si="69"/>
        <v>6.6344576245322022</v>
      </c>
      <c r="EM7" t="s">
        <v>303</v>
      </c>
      <c r="EN7" t="s">
        <v>7</v>
      </c>
      <c r="EO7">
        <v>35</v>
      </c>
      <c r="EP7">
        <v>35</v>
      </c>
      <c r="EQ7">
        <v>4</v>
      </c>
      <c r="ER7">
        <v>12</v>
      </c>
      <c r="ES7">
        <f t="shared" si="70"/>
        <v>86</v>
      </c>
      <c r="ET7">
        <f t="shared" si="71"/>
        <v>1.076884547958928</v>
      </c>
      <c r="EU7">
        <f t="shared" si="72"/>
        <v>1.0768845479589281E-2</v>
      </c>
      <c r="EV7">
        <f t="shared" si="73"/>
        <v>1.1596803296327048E-4</v>
      </c>
      <c r="EW7">
        <f t="shared" si="74"/>
        <v>-4.5310979913696592</v>
      </c>
      <c r="EX7">
        <f t="shared" si="75"/>
        <v>-4.8794694121937224E-2</v>
      </c>
      <c r="EY7">
        <f t="shared" si="76"/>
        <v>-1.2537756212851279E-2</v>
      </c>
      <c r="EZ7">
        <f t="shared" si="77"/>
        <v>5.3419723189586055</v>
      </c>
      <c r="FB7" t="s">
        <v>303</v>
      </c>
      <c r="FC7" t="s">
        <v>7</v>
      </c>
      <c r="FD7">
        <v>8</v>
      </c>
      <c r="FE7">
        <v>6</v>
      </c>
      <c r="FF7">
        <v>4</v>
      </c>
      <c r="FG7">
        <v>12</v>
      </c>
      <c r="FH7">
        <f t="shared" si="78"/>
        <v>30</v>
      </c>
      <c r="FI7">
        <f t="shared" si="79"/>
        <v>0.53106744556558683</v>
      </c>
      <c r="FJ7">
        <f t="shared" si="80"/>
        <v>5.3106744556558685E-3</v>
      </c>
      <c r="FK7">
        <f t="shared" si="81"/>
        <v>2.8203263173955756E-5</v>
      </c>
      <c r="FL7">
        <f t="shared" si="82"/>
        <v>-5.2380364356631066</v>
      </c>
      <c r="FM7">
        <f t="shared" si="83"/>
        <v>-2.7817506296670774E-2</v>
      </c>
      <c r="FN7">
        <f t="shared" si="84"/>
        <v>-7.1107726764572865E-3</v>
      </c>
    </row>
    <row r="8" spans="1:170" x14ac:dyDescent="0.25">
      <c r="A8" t="s">
        <v>303</v>
      </c>
      <c r="B8" t="s">
        <v>104</v>
      </c>
      <c r="C8">
        <v>55</v>
      </c>
      <c r="D8">
        <f>(C8/C32)*100</f>
        <v>6.8750000000000009</v>
      </c>
      <c r="E8">
        <f t="shared" si="0"/>
        <v>6.8750000000000006E-2</v>
      </c>
      <c r="F8">
        <f t="shared" si="1"/>
        <v>4.7265625000000007E-3</v>
      </c>
      <c r="G8">
        <f t="shared" si="2"/>
        <v>-2.6772785424354564</v>
      </c>
      <c r="H8">
        <f t="shared" si="3"/>
        <v>-0.18406289979243765</v>
      </c>
      <c r="I8">
        <f t="shared" si="4"/>
        <v>-5.5847090519253836E-2</v>
      </c>
      <c r="J8">
        <f t="shared" si="5"/>
        <v>3.8895303211680581</v>
      </c>
      <c r="L8" t="s">
        <v>303</v>
      </c>
      <c r="M8" t="s">
        <v>72</v>
      </c>
      <c r="N8">
        <v>31</v>
      </c>
      <c r="O8">
        <f>N8/N46*100</f>
        <v>3.28042328042328</v>
      </c>
      <c r="P8">
        <f t="shared" si="12"/>
        <v>3.2804232804232801E-2</v>
      </c>
      <c r="Q8">
        <f t="shared" si="13"/>
        <v>1.0761176898743034E-3</v>
      </c>
      <c r="R8">
        <f t="shared" si="14"/>
        <v>-3.4171977230085968</v>
      </c>
      <c r="S8">
        <f t="shared" si="15"/>
        <v>-0.11209854964366825</v>
      </c>
      <c r="T8">
        <f t="shared" si="16"/>
        <v>-3.0186178598427631E-2</v>
      </c>
      <c r="U8">
        <f t="shared" si="17"/>
        <v>5.838406118550437</v>
      </c>
      <c r="W8" t="s">
        <v>303</v>
      </c>
      <c r="X8" s="10" t="s">
        <v>421</v>
      </c>
      <c r="Y8">
        <v>55</v>
      </c>
      <c r="Z8">
        <v>45</v>
      </c>
      <c r="AA8">
        <v>9</v>
      </c>
      <c r="AB8">
        <v>30</v>
      </c>
      <c r="AC8" s="9">
        <f>SUM(Y8:AB8)</f>
        <v>139</v>
      </c>
      <c r="AD8" s="9">
        <f t="shared" si="18"/>
        <v>12.694063926940638</v>
      </c>
      <c r="AE8" s="9">
        <f t="shared" si="19"/>
        <v>0.12694063926940638</v>
      </c>
      <c r="AF8" s="9">
        <f t="shared" si="20"/>
        <v>1.6113925898125558E-2</v>
      </c>
      <c r="AG8" s="9">
        <f t="shared" si="21"/>
        <v>-2.0640357091199095</v>
      </c>
      <c r="AH8" s="9">
        <f t="shared" si="22"/>
        <v>-0.26201001239056382</v>
      </c>
      <c r="AI8" s="9">
        <f t="shared" si="23"/>
        <v>-6.7681841281890989E-2</v>
      </c>
      <c r="AJ8" s="9">
        <f t="shared" si="24"/>
        <v>6.7608659905015571</v>
      </c>
      <c r="AK8" s="9"/>
      <c r="AL8" s="9"/>
      <c r="AM8" t="s">
        <v>303</v>
      </c>
      <c r="AN8" s="1" t="s">
        <v>39</v>
      </c>
      <c r="AO8" s="2">
        <f t="shared" si="25"/>
        <v>13.622291021671826</v>
      </c>
      <c r="AP8">
        <v>132</v>
      </c>
      <c r="AQ8">
        <v>46</v>
      </c>
      <c r="AR8">
        <v>26</v>
      </c>
      <c r="AS8">
        <v>37</v>
      </c>
      <c r="AT8">
        <v>23</v>
      </c>
      <c r="AW8">
        <f t="shared" si="26"/>
        <v>0.13524590163934427</v>
      </c>
      <c r="AX8">
        <f t="shared" si="27"/>
        <v>1.8291453910239185E-2</v>
      </c>
      <c r="AY8">
        <f t="shared" si="28"/>
        <v>-2.0006606638267215</v>
      </c>
      <c r="AZ8">
        <f t="shared" si="29"/>
        <v>-0.27058115535361399</v>
      </c>
      <c r="BA8">
        <f t="shared" si="30"/>
        <v>-6.5820836224569329E-2</v>
      </c>
      <c r="BB8">
        <f t="shared" si="31"/>
        <v>8.7217468765167201</v>
      </c>
      <c r="BE8" t="s">
        <v>303</v>
      </c>
      <c r="BF8" s="15" t="s">
        <v>460</v>
      </c>
      <c r="BG8" s="15">
        <v>35</v>
      </c>
      <c r="BH8" s="15">
        <f>BG8/BG65*100</f>
        <v>4.2372881355932197</v>
      </c>
      <c r="BI8">
        <v>2</v>
      </c>
      <c r="BJ8">
        <v>1</v>
      </c>
      <c r="BK8">
        <v>8</v>
      </c>
      <c r="BL8">
        <v>1</v>
      </c>
      <c r="BM8">
        <v>14</v>
      </c>
      <c r="BN8">
        <f t="shared" si="6"/>
        <v>4.2168674698795178E-2</v>
      </c>
      <c r="BO8">
        <f t="shared" si="7"/>
        <v>1.7781971258528087E-3</v>
      </c>
      <c r="BP8">
        <f t="shared" si="8"/>
        <v>-3.1660776393012302</v>
      </c>
      <c r="BQ8">
        <f t="shared" si="9"/>
        <v>-0.13350929804282294</v>
      </c>
      <c r="BR8">
        <f t="shared" si="10"/>
        <v>-3.247710887127192E-2</v>
      </c>
      <c r="BS8">
        <f t="shared" si="11"/>
        <v>8.9298827999525709</v>
      </c>
      <c r="BV8" t="s">
        <v>303</v>
      </c>
      <c r="BW8" s="15" t="s">
        <v>460</v>
      </c>
      <c r="BX8" s="15">
        <v>3</v>
      </c>
      <c r="BY8" s="15"/>
      <c r="BZ8" s="15">
        <v>3</v>
      </c>
      <c r="CA8" s="15">
        <f t="shared" si="32"/>
        <v>6</v>
      </c>
      <c r="CB8" s="15">
        <f>CA8/CA49*100</f>
        <v>6.5912336592332199E-2</v>
      </c>
      <c r="CC8">
        <f t="shared" si="33"/>
        <v>6.6622251832111927E-4</v>
      </c>
      <c r="CD8">
        <f t="shared" si="34"/>
        <v>4.4385244391813407E-7</v>
      </c>
      <c r="CE8">
        <f t="shared" si="35"/>
        <v>-7.3138868316334618</v>
      </c>
      <c r="CF8">
        <f t="shared" si="36"/>
        <v>-4.8726761036865171E-3</v>
      </c>
      <c r="CG8">
        <f t="shared" si="37"/>
        <v>-1.2800389098799555E-3</v>
      </c>
      <c r="CH8">
        <f t="shared" si="38"/>
        <v>4.8264299747314352</v>
      </c>
      <c r="CK8" t="s">
        <v>303</v>
      </c>
      <c r="CL8" t="s">
        <v>460</v>
      </c>
      <c r="CM8">
        <v>1</v>
      </c>
      <c r="CP8">
        <f t="shared" si="39"/>
        <v>1</v>
      </c>
      <c r="CQ8" s="15">
        <f t="shared" si="40"/>
        <v>8.9605734767025089E-2</v>
      </c>
      <c r="CR8">
        <f t="shared" si="41"/>
        <v>8.9206066012488853E-4</v>
      </c>
      <c r="CS8">
        <f t="shared" si="42"/>
        <v>7.9577222134245192E-7</v>
      </c>
      <c r="CT8">
        <f t="shared" si="43"/>
        <v>-7.02197642307216</v>
      </c>
      <c r="CU8">
        <f t="shared" si="44"/>
        <v>-6.2640289233471544E-3</v>
      </c>
      <c r="CV8">
        <f t="shared" si="45"/>
        <v>-1.6654335665923674E-3</v>
      </c>
      <c r="CW8">
        <f t="shared" si="46"/>
        <v>5.9850321673386508</v>
      </c>
      <c r="CZ8" t="s">
        <v>303</v>
      </c>
      <c r="DA8" t="s">
        <v>17</v>
      </c>
      <c r="DB8">
        <v>4</v>
      </c>
      <c r="DC8">
        <v>70</v>
      </c>
      <c r="DD8">
        <v>7</v>
      </c>
      <c r="DE8">
        <f t="shared" si="47"/>
        <v>81</v>
      </c>
      <c r="DF8" s="36">
        <f t="shared" si="48"/>
        <v>10.916442048517521</v>
      </c>
      <c r="DG8">
        <f t="shared" si="49"/>
        <v>0.10887096774193548</v>
      </c>
      <c r="DH8">
        <f t="shared" si="50"/>
        <v>1.1852887617065556E-2</v>
      </c>
      <c r="DI8">
        <f t="shared" si="51"/>
        <v>-2.2175918801606529</v>
      </c>
      <c r="DJ8">
        <f t="shared" si="52"/>
        <v>-0.24143137404974852</v>
      </c>
      <c r="DK8">
        <f t="shared" si="53"/>
        <v>-5.9715140386794714E-2</v>
      </c>
      <c r="DL8">
        <f t="shared" si="54"/>
        <v>8.4693969237312228</v>
      </c>
      <c r="DN8" t="s">
        <v>303</v>
      </c>
      <c r="DO8" t="s">
        <v>17</v>
      </c>
      <c r="DP8">
        <v>4</v>
      </c>
      <c r="DQ8">
        <f t="shared" si="55"/>
        <v>1.03359173126615</v>
      </c>
      <c r="DR8">
        <f t="shared" si="56"/>
        <v>1.0335917312661499E-2</v>
      </c>
      <c r="DS8">
        <f t="shared" si="57"/>
        <v>1.0683118669417571E-4</v>
      </c>
      <c r="DT8">
        <f t="shared" si="58"/>
        <v>-4.5721303319098912</v>
      </c>
      <c r="DU8">
        <f t="shared" si="59"/>
        <v>-4.7257161053332213E-2</v>
      </c>
      <c r="DV8">
        <f t="shared" si="60"/>
        <v>-1.3087298630592922E-2</v>
      </c>
      <c r="DW8">
        <f t="shared" si="61"/>
        <v>6.0418654014563815</v>
      </c>
      <c r="DY8" t="s">
        <v>303</v>
      </c>
      <c r="DZ8" t="s">
        <v>7</v>
      </c>
      <c r="EA8">
        <v>18</v>
      </c>
      <c r="EB8">
        <v>11</v>
      </c>
      <c r="ED8">
        <f t="shared" si="62"/>
        <v>29</v>
      </c>
      <c r="EE8">
        <f t="shared" si="63"/>
        <v>2.4308466051969826</v>
      </c>
      <c r="EF8">
        <f t="shared" si="64"/>
        <v>2.4308466051969825E-2</v>
      </c>
      <c r="EG8">
        <f t="shared" si="65"/>
        <v>5.9090152179976942E-4</v>
      </c>
      <c r="EH8">
        <f t="shared" si="66"/>
        <v>-3.7169305921114422</v>
      </c>
      <c r="EI8">
        <f t="shared" si="67"/>
        <v>-9.0352881115869088E-2</v>
      </c>
      <c r="EJ8">
        <f t="shared" si="68"/>
        <v>-2.3339754474459368E-2</v>
      </c>
      <c r="EK8">
        <f t="shared" si="69"/>
        <v>6.6344576245322022</v>
      </c>
      <c r="EM8" t="s">
        <v>303</v>
      </c>
      <c r="EN8" t="s">
        <v>503</v>
      </c>
      <c r="EP8">
        <v>3</v>
      </c>
      <c r="ES8">
        <f t="shared" si="70"/>
        <v>3</v>
      </c>
      <c r="ET8" s="15">
        <f t="shared" si="71"/>
        <v>3.7565740045078892E-2</v>
      </c>
      <c r="EU8">
        <f t="shared" si="72"/>
        <v>3.756574004507889E-4</v>
      </c>
      <c r="EV8">
        <f t="shared" si="73"/>
        <v>1.4111848251344438E-7</v>
      </c>
      <c r="EW8">
        <f t="shared" si="74"/>
        <v>-7.8868329989550565</v>
      </c>
      <c r="EX8">
        <f t="shared" si="75"/>
        <v>-2.9627471821769562E-3</v>
      </c>
      <c r="EY8">
        <f t="shared" si="76"/>
        <v>-7.6127543289069384E-4</v>
      </c>
      <c r="EZ8">
        <f t="shared" si="77"/>
        <v>5.3419723189586055</v>
      </c>
      <c r="FB8" t="s">
        <v>303</v>
      </c>
      <c r="FC8" t="s">
        <v>81</v>
      </c>
      <c r="FF8">
        <v>1</v>
      </c>
      <c r="FH8">
        <f t="shared" si="78"/>
        <v>1</v>
      </c>
      <c r="FI8" s="15">
        <f t="shared" si="79"/>
        <v>1.7702248185519558E-2</v>
      </c>
      <c r="FJ8">
        <f t="shared" si="80"/>
        <v>1.770224818551956E-4</v>
      </c>
      <c r="FK8">
        <f t="shared" si="81"/>
        <v>3.1336959082173057E-8</v>
      </c>
      <c r="FL8">
        <f t="shared" si="82"/>
        <v>-8.6392338173252625</v>
      </c>
      <c r="FM8">
        <f t="shared" si="83"/>
        <v>-1.5293386116702534E-3</v>
      </c>
      <c r="FN8">
        <f t="shared" si="84"/>
        <v>-3.9093292895982777E-4</v>
      </c>
    </row>
    <row r="9" spans="1:170" x14ac:dyDescent="0.25">
      <c r="A9" t="s">
        <v>303</v>
      </c>
      <c r="B9" t="s">
        <v>70</v>
      </c>
      <c r="C9">
        <v>112</v>
      </c>
      <c r="D9">
        <f>(C9/C32)*100</f>
        <v>14.000000000000002</v>
      </c>
      <c r="E9">
        <f t="shared" si="0"/>
        <v>0.14000000000000001</v>
      </c>
      <c r="F9">
        <f t="shared" si="1"/>
        <v>1.9600000000000003E-2</v>
      </c>
      <c r="G9">
        <f t="shared" si="2"/>
        <v>-1.9661128563728327</v>
      </c>
      <c r="H9">
        <f t="shared" si="3"/>
        <v>-0.27525579989219662</v>
      </c>
      <c r="I9">
        <f t="shared" si="4"/>
        <v>-8.3516208806141523E-2</v>
      </c>
      <c r="J9">
        <f t="shared" si="5"/>
        <v>3.8895303211680581</v>
      </c>
      <c r="L9" t="s">
        <v>303</v>
      </c>
      <c r="M9" s="1" t="s">
        <v>411</v>
      </c>
      <c r="N9">
        <v>115</v>
      </c>
      <c r="O9">
        <f>N9/N46*100</f>
        <v>12.169312169312169</v>
      </c>
      <c r="P9">
        <f t="shared" si="12"/>
        <v>0.12169312169312169</v>
      </c>
      <c r="Q9">
        <f t="shared" si="13"/>
        <v>1.4809215867416924E-2</v>
      </c>
      <c r="R9">
        <f t="shared" si="14"/>
        <v>-2.1062527991304929</v>
      </c>
      <c r="S9">
        <f t="shared" si="15"/>
        <v>-0.25631647820106523</v>
      </c>
      <c r="T9">
        <f t="shared" si="16"/>
        <v>-6.902154410821465E-2</v>
      </c>
      <c r="U9">
        <f t="shared" si="17"/>
        <v>5.838406118550437</v>
      </c>
      <c r="W9" t="s">
        <v>303</v>
      </c>
      <c r="X9" s="10" t="s">
        <v>104</v>
      </c>
      <c r="Y9">
        <v>38</v>
      </c>
      <c r="Z9">
        <v>12</v>
      </c>
      <c r="AA9">
        <v>30</v>
      </c>
      <c r="AC9" s="9">
        <f t="shared" ref="AC9:AC14" si="85">SUM(Y9:AA9)</f>
        <v>80</v>
      </c>
      <c r="AD9" s="9">
        <f t="shared" si="18"/>
        <v>7.3059360730593603</v>
      </c>
      <c r="AE9" s="9">
        <f t="shared" si="19"/>
        <v>7.3059360730593603E-2</v>
      </c>
      <c r="AF9" s="9">
        <f t="shared" si="20"/>
        <v>5.3376701903630024E-3</v>
      </c>
      <c r="AG9" s="9">
        <f t="shared" si="21"/>
        <v>-2.6164830075767198</v>
      </c>
      <c r="AH9" s="9">
        <f t="shared" si="22"/>
        <v>-0.19115857589601604</v>
      </c>
      <c r="AI9" s="9">
        <f t="shared" si="23"/>
        <v>-4.9379656431528127E-2</v>
      </c>
      <c r="AJ9" s="9">
        <f t="shared" si="24"/>
        <v>6.7608659905015571</v>
      </c>
      <c r="AK9" s="9"/>
      <c r="AL9" s="9"/>
      <c r="AM9" t="s">
        <v>315</v>
      </c>
      <c r="AN9" s="1" t="s">
        <v>433</v>
      </c>
      <c r="AO9" s="2">
        <f t="shared" si="25"/>
        <v>1.6511867905056758</v>
      </c>
      <c r="AP9">
        <v>16</v>
      </c>
      <c r="AQ9">
        <v>2</v>
      </c>
      <c r="AR9">
        <v>1</v>
      </c>
      <c r="AS9">
        <v>2</v>
      </c>
      <c r="AT9">
        <v>11</v>
      </c>
      <c r="AW9">
        <f t="shared" si="26"/>
        <v>1.6393442622950821E-2</v>
      </c>
      <c r="AX9">
        <f t="shared" si="27"/>
        <v>2.6874496103198068E-4</v>
      </c>
      <c r="AY9">
        <f t="shared" si="28"/>
        <v>-4.1108738641733114</v>
      </c>
      <c r="AZ9">
        <f t="shared" si="29"/>
        <v>-6.7391374822513297E-2</v>
      </c>
      <c r="BA9">
        <f t="shared" si="30"/>
        <v>-1.6393442622950821E-2</v>
      </c>
      <c r="BB9">
        <f t="shared" si="31"/>
        <v>8.7217468765167201</v>
      </c>
      <c r="BE9" t="s">
        <v>303</v>
      </c>
      <c r="BF9" t="s">
        <v>17</v>
      </c>
      <c r="BG9">
        <v>104</v>
      </c>
      <c r="BH9">
        <f>BG9/BG65*100</f>
        <v>12.590799031476999</v>
      </c>
      <c r="BI9">
        <v>32</v>
      </c>
      <c r="BJ9">
        <v>14</v>
      </c>
      <c r="BK9">
        <v>14</v>
      </c>
      <c r="BL9">
        <v>4</v>
      </c>
      <c r="BM9">
        <v>40</v>
      </c>
      <c r="BN9">
        <f t="shared" si="6"/>
        <v>0.12530120481927712</v>
      </c>
      <c r="BO9">
        <f t="shared" si="7"/>
        <v>1.5700391929162436E-2</v>
      </c>
      <c r="BP9">
        <f t="shared" si="8"/>
        <v>-2.0770348016492708</v>
      </c>
      <c r="BQ9">
        <f t="shared" si="9"/>
        <v>-0.26025496309822188</v>
      </c>
      <c r="BR9">
        <f t="shared" si="10"/>
        <v>-6.3308914770256186E-2</v>
      </c>
      <c r="BS9">
        <f t="shared" si="11"/>
        <v>8.9298827999525709</v>
      </c>
      <c r="BV9" t="s">
        <v>303</v>
      </c>
      <c r="BW9" t="s">
        <v>17</v>
      </c>
      <c r="BX9">
        <v>47</v>
      </c>
      <c r="BY9">
        <v>58</v>
      </c>
      <c r="BZ9">
        <v>597</v>
      </c>
      <c r="CA9">
        <f t="shared" si="32"/>
        <v>702</v>
      </c>
      <c r="CB9">
        <f>CA9/CA49*100</f>
        <v>7.7117433813028669</v>
      </c>
      <c r="CC9">
        <f t="shared" si="33"/>
        <v>7.7948034643570946E-2</v>
      </c>
      <c r="CD9">
        <f t="shared" si="34"/>
        <v>6.0758961047953364E-3</v>
      </c>
      <c r="CE9">
        <f t="shared" si="35"/>
        <v>-2.5517128968357059</v>
      </c>
      <c r="CF9">
        <f t="shared" si="36"/>
        <v>-0.19890100528299637</v>
      </c>
      <c r="CG9">
        <f t="shared" si="37"/>
        <v>-5.2250759245797321E-2</v>
      </c>
      <c r="CH9">
        <f t="shared" si="38"/>
        <v>4.8264299747314352</v>
      </c>
      <c r="CK9" t="s">
        <v>303</v>
      </c>
      <c r="CL9" t="s">
        <v>17</v>
      </c>
      <c r="CM9">
        <v>80</v>
      </c>
      <c r="CN9">
        <v>49</v>
      </c>
      <c r="CO9">
        <v>60</v>
      </c>
      <c r="CP9">
        <f t="shared" si="39"/>
        <v>189</v>
      </c>
      <c r="CQ9" s="36">
        <f t="shared" si="40"/>
        <v>16.93548387096774</v>
      </c>
      <c r="CR9">
        <f t="shared" si="41"/>
        <v>0.16859946476360393</v>
      </c>
      <c r="CS9">
        <f t="shared" si="42"/>
        <v>2.8425779518573724E-2</v>
      </c>
      <c r="CT9">
        <f t="shared" si="43"/>
        <v>-1.7802294080125174</v>
      </c>
      <c r="CU9">
        <f t="shared" si="44"/>
        <v>-0.30014572534733791</v>
      </c>
      <c r="CV9">
        <f t="shared" si="45"/>
        <v>-7.9800520077350709E-2</v>
      </c>
      <c r="CW9">
        <f t="shared" si="46"/>
        <v>5.9850321673386508</v>
      </c>
      <c r="CZ9" t="s">
        <v>303</v>
      </c>
      <c r="DA9" s="1" t="s">
        <v>410</v>
      </c>
      <c r="DB9">
        <v>1</v>
      </c>
      <c r="DC9">
        <v>7</v>
      </c>
      <c r="DD9">
        <v>1</v>
      </c>
      <c r="DE9">
        <f t="shared" si="47"/>
        <v>9</v>
      </c>
      <c r="DF9" s="36">
        <f t="shared" si="48"/>
        <v>1.2129380053908356</v>
      </c>
      <c r="DG9">
        <f t="shared" si="49"/>
        <v>1.2096774193548387E-2</v>
      </c>
      <c r="DH9">
        <f t="shared" si="50"/>
        <v>1.4633194588969822E-4</v>
      </c>
      <c r="DI9">
        <f t="shared" si="51"/>
        <v>-4.4148164574968725</v>
      </c>
      <c r="DJ9">
        <f t="shared" si="52"/>
        <v>-5.3405037792300873E-2</v>
      </c>
      <c r="DK9">
        <f t="shared" si="53"/>
        <v>-1.3209092404337604E-2</v>
      </c>
      <c r="DL9">
        <f t="shared" si="54"/>
        <v>8.4693969237312228</v>
      </c>
      <c r="DN9" t="s">
        <v>303</v>
      </c>
      <c r="DO9" s="1" t="s">
        <v>19</v>
      </c>
      <c r="DP9">
        <v>22</v>
      </c>
      <c r="DQ9">
        <f t="shared" si="55"/>
        <v>5.684754521963824</v>
      </c>
      <c r="DR9">
        <f t="shared" si="56"/>
        <v>5.6847545219638244E-2</v>
      </c>
      <c r="DS9">
        <f t="shared" si="57"/>
        <v>3.2316433974988149E-3</v>
      </c>
      <c r="DT9">
        <f t="shared" si="58"/>
        <v>-2.8673822396714659</v>
      </c>
      <c r="DU9">
        <f t="shared" si="59"/>
        <v>-0.16300364153171124</v>
      </c>
      <c r="DV9">
        <f t="shared" si="60"/>
        <v>-4.5141885103764642E-2</v>
      </c>
      <c r="DW9">
        <f t="shared" si="61"/>
        <v>6.0418654014563815</v>
      </c>
      <c r="DY9" t="s">
        <v>303</v>
      </c>
      <c r="DZ9" s="1" t="s">
        <v>18</v>
      </c>
      <c r="EA9">
        <v>5</v>
      </c>
      <c r="ED9">
        <f t="shared" si="62"/>
        <v>5</v>
      </c>
      <c r="EE9">
        <f t="shared" si="63"/>
        <v>0.41911148365465212</v>
      </c>
      <c r="EF9">
        <f t="shared" si="64"/>
        <v>4.1911148365465214E-3</v>
      </c>
      <c r="EG9">
        <f t="shared" si="65"/>
        <v>1.7565443573120375E-5</v>
      </c>
      <c r="EH9">
        <f t="shared" si="66"/>
        <v>-5.4747885096638154</v>
      </c>
      <c r="EI9">
        <f t="shared" si="67"/>
        <v>-2.2945467349806434E-2</v>
      </c>
      <c r="EJ9">
        <f t="shared" si="68"/>
        <v>-5.9272218841524742E-3</v>
      </c>
      <c r="EK9">
        <f t="shared" si="69"/>
        <v>6.6344576245322022</v>
      </c>
      <c r="EM9" t="s">
        <v>303</v>
      </c>
      <c r="EN9" t="s">
        <v>17</v>
      </c>
      <c r="EO9">
        <v>12</v>
      </c>
      <c r="EP9">
        <v>10</v>
      </c>
      <c r="EQ9">
        <v>1280</v>
      </c>
      <c r="ER9">
        <v>1020</v>
      </c>
      <c r="ES9">
        <f t="shared" si="70"/>
        <v>2322</v>
      </c>
      <c r="ET9">
        <f t="shared" si="71"/>
        <v>29.075882794891061</v>
      </c>
      <c r="EU9">
        <f t="shared" si="72"/>
        <v>0.29075882794891061</v>
      </c>
      <c r="EV9">
        <f t="shared" si="73"/>
        <v>8.4540696030224211E-2</v>
      </c>
      <c r="EW9">
        <f t="shared" si="74"/>
        <v>-1.2352611253653298</v>
      </c>
      <c r="EX9">
        <f t="shared" si="75"/>
        <v>-0.35916307702207562</v>
      </c>
      <c r="EY9">
        <f t="shared" si="76"/>
        <v>-9.2286654961031875E-2</v>
      </c>
      <c r="EZ9">
        <f t="shared" si="77"/>
        <v>5.3419723189586055</v>
      </c>
      <c r="FB9" t="s">
        <v>303</v>
      </c>
      <c r="FC9" t="s">
        <v>17</v>
      </c>
      <c r="FF9">
        <v>1</v>
      </c>
      <c r="FH9">
        <f t="shared" si="78"/>
        <v>1</v>
      </c>
      <c r="FI9">
        <f t="shared" si="79"/>
        <v>1.7702248185519558E-2</v>
      </c>
      <c r="FJ9">
        <f t="shared" si="80"/>
        <v>1.770224818551956E-4</v>
      </c>
      <c r="FK9">
        <f t="shared" si="81"/>
        <v>3.1336959082173057E-8</v>
      </c>
      <c r="FL9">
        <f t="shared" si="82"/>
        <v>-8.6392338173252625</v>
      </c>
      <c r="FM9">
        <f t="shared" si="83"/>
        <v>-1.5293386116702534E-3</v>
      </c>
      <c r="FN9">
        <f t="shared" si="84"/>
        <v>-3.9093292895982777E-4</v>
      </c>
    </row>
    <row r="10" spans="1:170" x14ac:dyDescent="0.25">
      <c r="A10" t="s">
        <v>303</v>
      </c>
      <c r="B10" s="1" t="s">
        <v>416</v>
      </c>
      <c r="C10">
        <v>8</v>
      </c>
      <c r="D10">
        <f>(C10/C32)*100</f>
        <v>1</v>
      </c>
      <c r="E10">
        <f t="shared" si="0"/>
        <v>0.01</v>
      </c>
      <c r="F10">
        <f t="shared" si="1"/>
        <v>1E-4</v>
      </c>
      <c r="G10">
        <f t="shared" si="2"/>
        <v>-4.6051701859880909</v>
      </c>
      <c r="H10">
        <f t="shared" si="3"/>
        <v>-4.605170185988091E-2</v>
      </c>
      <c r="I10">
        <f t="shared" si="4"/>
        <v>-1.3972688495262562E-2</v>
      </c>
      <c r="J10">
        <f t="shared" si="5"/>
        <v>3.8895303211680581</v>
      </c>
      <c r="L10" t="s">
        <v>315</v>
      </c>
      <c r="M10" s="1" t="s">
        <v>412</v>
      </c>
      <c r="N10">
        <v>17</v>
      </c>
      <c r="O10">
        <f>N10/N46*100</f>
        <v>1.7989417989417988</v>
      </c>
      <c r="P10">
        <f t="shared" si="12"/>
        <v>1.7989417989417989E-2</v>
      </c>
      <c r="Q10">
        <f t="shared" si="13"/>
        <v>3.2361915959799555E-4</v>
      </c>
      <c r="R10">
        <f t="shared" si="14"/>
        <v>-4.0179715834375269</v>
      </c>
      <c r="S10">
        <f t="shared" si="15"/>
        <v>-7.228097028406133E-2</v>
      </c>
      <c r="T10">
        <f t="shared" si="16"/>
        <v>-1.9464000963419752E-2</v>
      </c>
      <c r="U10">
        <f t="shared" si="17"/>
        <v>5.838406118550437</v>
      </c>
      <c r="W10" t="s">
        <v>303</v>
      </c>
      <c r="X10" s="10" t="s">
        <v>533</v>
      </c>
      <c r="Y10">
        <v>10</v>
      </c>
      <c r="Z10">
        <v>5</v>
      </c>
      <c r="AA10">
        <v>1</v>
      </c>
      <c r="AC10" s="9">
        <f t="shared" si="85"/>
        <v>16</v>
      </c>
      <c r="AD10" s="9">
        <f t="shared" si="18"/>
        <v>1.4611872146118721</v>
      </c>
      <c r="AE10" s="9">
        <f t="shared" si="19"/>
        <v>1.4611872146118721E-2</v>
      </c>
      <c r="AF10" s="9">
        <f t="shared" si="20"/>
        <v>2.1350680761452013E-4</v>
      </c>
      <c r="AG10" s="9">
        <f t="shared" si="21"/>
        <v>-4.2259209200108199</v>
      </c>
      <c r="AH10" s="9">
        <f t="shared" si="22"/>
        <v>-6.1748616182806498E-2</v>
      </c>
      <c r="AI10" s="9">
        <f t="shared" si="23"/>
        <v>-1.5950764635785455E-2</v>
      </c>
      <c r="AJ10" s="9">
        <f t="shared" si="24"/>
        <v>6.7608659905015571</v>
      </c>
      <c r="AK10" s="9"/>
      <c r="AL10" s="9"/>
      <c r="AM10" t="s">
        <v>303</v>
      </c>
      <c r="AN10" s="1" t="s">
        <v>5</v>
      </c>
      <c r="AO10" s="2">
        <f t="shared" si="25"/>
        <v>0.41279669762641896</v>
      </c>
      <c r="AP10">
        <v>4</v>
      </c>
      <c r="AQ10">
        <v>4</v>
      </c>
      <c r="AW10">
        <f t="shared" si="26"/>
        <v>4.0983606557377051E-3</v>
      </c>
      <c r="AX10">
        <f t="shared" si="27"/>
        <v>1.6796560064498793E-5</v>
      </c>
      <c r="AY10">
        <f t="shared" si="28"/>
        <v>-5.4971682252932021</v>
      </c>
      <c r="AZ10">
        <f t="shared" si="29"/>
        <v>-2.2529377972513125E-2</v>
      </c>
      <c r="BA10">
        <f t="shared" si="30"/>
        <v>-5.4804352351598461E-3</v>
      </c>
      <c r="BB10">
        <f t="shared" si="31"/>
        <v>8.7217468765167201</v>
      </c>
      <c r="BE10" t="s">
        <v>303</v>
      </c>
      <c r="BF10" s="1" t="s">
        <v>18</v>
      </c>
      <c r="BG10">
        <v>31</v>
      </c>
      <c r="BH10">
        <f>BG10/BG65*100</f>
        <v>3.7530266343825671</v>
      </c>
      <c r="BI10">
        <v>8</v>
      </c>
      <c r="BJ10">
        <v>4</v>
      </c>
      <c r="BK10">
        <v>4</v>
      </c>
      <c r="BL10">
        <v>3</v>
      </c>
      <c r="BM10">
        <v>12</v>
      </c>
      <c r="BN10">
        <f t="shared" si="6"/>
        <v>3.7349397590361447E-2</v>
      </c>
      <c r="BO10">
        <f t="shared" si="7"/>
        <v>1.3949775003628975E-3</v>
      </c>
      <c r="BP10">
        <f t="shared" si="8"/>
        <v>-3.2874384963054974</v>
      </c>
      <c r="BQ10">
        <f t="shared" si="9"/>
        <v>-0.122783847452374</v>
      </c>
      <c r="BR10">
        <f t="shared" si="10"/>
        <v>-2.9868064919833192E-2</v>
      </c>
      <c r="BS10">
        <f t="shared" si="11"/>
        <v>8.9298827999525709</v>
      </c>
      <c r="BV10" t="s">
        <v>303</v>
      </c>
      <c r="BW10" s="1" t="s">
        <v>18</v>
      </c>
      <c r="BX10">
        <v>4</v>
      </c>
      <c r="BY10">
        <v>7</v>
      </c>
      <c r="CA10">
        <f t="shared" si="32"/>
        <v>11</v>
      </c>
      <c r="CB10">
        <f>CA10/CA49*100</f>
        <v>0.12083928375260904</v>
      </c>
      <c r="CC10">
        <f t="shared" si="33"/>
        <v>1.2214079502553853E-3</v>
      </c>
      <c r="CD10">
        <f t="shared" si="34"/>
        <v>1.4918373809470617E-6</v>
      </c>
      <c r="CE10">
        <f t="shared" si="35"/>
        <v>-6.7077510280631465</v>
      </c>
      <c r="CF10">
        <f t="shared" si="36"/>
        <v>-8.1929004340100618E-3</v>
      </c>
      <c r="CG10">
        <f t="shared" si="37"/>
        <v>-2.152252913418755E-3</v>
      </c>
      <c r="CH10">
        <f t="shared" si="38"/>
        <v>4.8264299747314352</v>
      </c>
      <c r="CK10" t="s">
        <v>303</v>
      </c>
      <c r="CL10" s="1" t="s">
        <v>18</v>
      </c>
      <c r="CM10">
        <v>4</v>
      </c>
      <c r="CN10">
        <v>7</v>
      </c>
      <c r="CO10">
        <v>7</v>
      </c>
      <c r="CP10">
        <f t="shared" si="39"/>
        <v>18</v>
      </c>
      <c r="CQ10" s="36">
        <f t="shared" si="40"/>
        <v>1.6129032258064515</v>
      </c>
      <c r="CR10">
        <f t="shared" si="41"/>
        <v>1.6057091882247992E-2</v>
      </c>
      <c r="CS10">
        <f t="shared" si="42"/>
        <v>2.5783019971495439E-4</v>
      </c>
      <c r="CT10">
        <f t="shared" si="43"/>
        <v>-4.1316046651759954</v>
      </c>
      <c r="CU10">
        <f t="shared" si="44"/>
        <v>-6.6341555729855409E-2</v>
      </c>
      <c r="CV10">
        <f t="shared" si="45"/>
        <v>-1.7638400959588952E-2</v>
      </c>
      <c r="CW10">
        <f t="shared" si="46"/>
        <v>5.9850321673386508</v>
      </c>
      <c r="CZ10" t="s">
        <v>303</v>
      </c>
      <c r="DA10" s="1" t="s">
        <v>19</v>
      </c>
      <c r="DB10">
        <v>17</v>
      </c>
      <c r="DC10">
        <v>3</v>
      </c>
      <c r="DD10">
        <v>12</v>
      </c>
      <c r="DE10">
        <f t="shared" si="47"/>
        <v>32</v>
      </c>
      <c r="DF10" s="36">
        <f t="shared" si="48"/>
        <v>4.3126684636118604</v>
      </c>
      <c r="DG10">
        <f t="shared" si="49"/>
        <v>4.3010752688172046E-2</v>
      </c>
      <c r="DH10">
        <f t="shared" si="50"/>
        <v>1.849924846803099E-3</v>
      </c>
      <c r="DI10">
        <f t="shared" si="51"/>
        <v>-3.146305132033365</v>
      </c>
      <c r="DJ10">
        <f t="shared" si="52"/>
        <v>-0.13532495191541355</v>
      </c>
      <c r="DK10">
        <f t="shared" si="53"/>
        <v>-3.3470995777872811E-2</v>
      </c>
      <c r="DL10">
        <f t="shared" si="54"/>
        <v>8.4693969237312228</v>
      </c>
      <c r="DN10" t="s">
        <v>315</v>
      </c>
      <c r="DO10" s="1" t="s">
        <v>20</v>
      </c>
      <c r="DP10">
        <v>10</v>
      </c>
      <c r="DQ10" s="15">
        <f t="shared" si="55"/>
        <v>2.5839793281653747</v>
      </c>
      <c r="DR10">
        <f t="shared" si="56"/>
        <v>2.5839793281653745E-2</v>
      </c>
      <c r="DS10">
        <f t="shared" si="57"/>
        <v>6.6769491683859802E-4</v>
      </c>
      <c r="DT10">
        <f t="shared" si="58"/>
        <v>-3.655839600035736</v>
      </c>
      <c r="DU10">
        <f t="shared" si="59"/>
        <v>-9.4466139535807125E-2</v>
      </c>
      <c r="DV10">
        <f t="shared" si="60"/>
        <v>-2.6161253681513601E-2</v>
      </c>
      <c r="DW10">
        <f t="shared" si="61"/>
        <v>6.0418654014563815</v>
      </c>
      <c r="DY10" t="s">
        <v>303</v>
      </c>
      <c r="DZ10" s="1" t="s">
        <v>19</v>
      </c>
      <c r="EA10">
        <v>62</v>
      </c>
      <c r="EB10">
        <v>57</v>
      </c>
      <c r="EC10">
        <v>75</v>
      </c>
      <c r="ED10">
        <f t="shared" si="62"/>
        <v>194</v>
      </c>
      <c r="EE10">
        <f t="shared" si="63"/>
        <v>16.261525565800504</v>
      </c>
      <c r="EF10">
        <f t="shared" si="64"/>
        <v>0.16261525565800503</v>
      </c>
      <c r="EG10">
        <f t="shared" si="65"/>
        <v>2.6443721372718335E-2</v>
      </c>
      <c r="EH10">
        <f t="shared" si="66"/>
        <v>-1.8163682630345881</v>
      </c>
      <c r="EI10">
        <f t="shared" si="67"/>
        <v>-0.29536918946245605</v>
      </c>
      <c r="EJ10">
        <f t="shared" si="68"/>
        <v>-7.6299109405632434E-2</v>
      </c>
      <c r="EK10">
        <f t="shared" si="69"/>
        <v>6.6344576245322022</v>
      </c>
      <c r="EM10" t="s">
        <v>303</v>
      </c>
      <c r="EN10" s="1" t="s">
        <v>127</v>
      </c>
      <c r="EO10">
        <v>2</v>
      </c>
      <c r="EQ10">
        <v>1</v>
      </c>
      <c r="ES10">
        <f t="shared" si="70"/>
        <v>3</v>
      </c>
      <c r="ET10">
        <f t="shared" si="71"/>
        <v>3.7565740045078892E-2</v>
      </c>
      <c r="EU10">
        <f t="shared" si="72"/>
        <v>3.756574004507889E-4</v>
      </c>
      <c r="EV10">
        <f t="shared" si="73"/>
        <v>1.4111848251344438E-7</v>
      </c>
      <c r="EW10">
        <f t="shared" si="74"/>
        <v>-7.8868329989550565</v>
      </c>
      <c r="EX10">
        <f t="shared" si="75"/>
        <v>-2.9627471821769562E-3</v>
      </c>
      <c r="EY10">
        <f t="shared" si="76"/>
        <v>-7.6127543289069384E-4</v>
      </c>
      <c r="EZ10">
        <f t="shared" si="77"/>
        <v>5.3419723189586055</v>
      </c>
      <c r="FB10" t="s">
        <v>303</v>
      </c>
      <c r="FC10" s="1" t="s">
        <v>516</v>
      </c>
      <c r="FG10">
        <v>1</v>
      </c>
      <c r="FH10">
        <f t="shared" si="78"/>
        <v>1</v>
      </c>
      <c r="FI10">
        <f t="shared" si="79"/>
        <v>1.7702248185519558E-2</v>
      </c>
      <c r="FJ10">
        <f t="shared" si="80"/>
        <v>1.770224818551956E-4</v>
      </c>
      <c r="FK10">
        <f t="shared" si="81"/>
        <v>3.1336959082173057E-8</v>
      </c>
      <c r="FL10">
        <f t="shared" si="82"/>
        <v>-8.6392338173252625</v>
      </c>
      <c r="FM10">
        <f t="shared" si="83"/>
        <v>-1.5293386116702534E-3</v>
      </c>
      <c r="FN10">
        <f t="shared" si="84"/>
        <v>-3.9093292895982777E-4</v>
      </c>
    </row>
    <row r="11" spans="1:170" x14ac:dyDescent="0.25">
      <c r="A11" t="s">
        <v>303</v>
      </c>
      <c r="B11" t="s">
        <v>87</v>
      </c>
      <c r="C11">
        <v>73</v>
      </c>
      <c r="D11">
        <f>(C11/C32)*100</f>
        <v>9.125</v>
      </c>
      <c r="E11">
        <f t="shared" si="0"/>
        <v>9.1249999999999998E-2</v>
      </c>
      <c r="F11">
        <f t="shared" si="1"/>
        <v>8.3265624999999989E-3</v>
      </c>
      <c r="G11">
        <f t="shared" si="2"/>
        <v>-2.3941522865195362</v>
      </c>
      <c r="H11">
        <f t="shared" si="3"/>
        <v>-0.21846639614490768</v>
      </c>
      <c r="I11">
        <f t="shared" si="4"/>
        <v>-6.6285561156964351E-2</v>
      </c>
      <c r="J11">
        <f t="shared" si="5"/>
        <v>3.8895303211680581</v>
      </c>
      <c r="L11" t="s">
        <v>303</v>
      </c>
      <c r="M11" t="s">
        <v>74</v>
      </c>
      <c r="N11">
        <v>29</v>
      </c>
      <c r="O11">
        <f>N11/N46*100</f>
        <v>3.0687830687830688</v>
      </c>
      <c r="P11">
        <f t="shared" si="12"/>
        <v>3.0687830687830688E-2</v>
      </c>
      <c r="Q11">
        <f t="shared" si="13"/>
        <v>9.4174295232496289E-4</v>
      </c>
      <c r="R11">
        <f t="shared" si="14"/>
        <v>-3.4838890975072689</v>
      </c>
      <c r="S11">
        <f t="shared" si="15"/>
        <v>-0.10691299875948232</v>
      </c>
      <c r="T11">
        <f t="shared" si="16"/>
        <v>-2.8789800450638524E-2</v>
      </c>
      <c r="U11">
        <f t="shared" si="17"/>
        <v>5.838406118550437</v>
      </c>
      <c r="W11" t="s">
        <v>305</v>
      </c>
      <c r="X11" s="10" t="s">
        <v>537</v>
      </c>
      <c r="Y11">
        <v>8</v>
      </c>
      <c r="Z11">
        <v>2</v>
      </c>
      <c r="AC11" s="9">
        <f t="shared" si="85"/>
        <v>10</v>
      </c>
      <c r="AD11" s="9">
        <f t="shared" si="18"/>
        <v>0.91324200913242004</v>
      </c>
      <c r="AE11" s="9">
        <f t="shared" si="19"/>
        <v>9.1324200913242004E-3</v>
      </c>
      <c r="AF11" s="9">
        <f t="shared" si="20"/>
        <v>8.3401096724421912E-5</v>
      </c>
      <c r="AG11" s="9">
        <f t="shared" si="21"/>
        <v>-4.6959245492565556</v>
      </c>
      <c r="AH11" s="9">
        <f t="shared" si="22"/>
        <v>-4.2885155700973107E-2</v>
      </c>
      <c r="AI11" s="9">
        <f t="shared" si="23"/>
        <v>-1.1077997649859957E-2</v>
      </c>
      <c r="AJ11" s="9">
        <f t="shared" si="24"/>
        <v>6.7608659905015571</v>
      </c>
      <c r="AK11" s="9"/>
      <c r="AL11" s="9"/>
      <c r="AM11" t="s">
        <v>303</v>
      </c>
      <c r="AN11" s="1" t="s">
        <v>29</v>
      </c>
      <c r="AO11" s="2">
        <f t="shared" si="25"/>
        <v>1.3415892672858616</v>
      </c>
      <c r="AP11">
        <v>13</v>
      </c>
      <c r="AQ11">
        <v>6</v>
      </c>
      <c r="AR11">
        <v>2</v>
      </c>
      <c r="AS11">
        <v>4</v>
      </c>
      <c r="AT11">
        <v>1</v>
      </c>
      <c r="AW11">
        <f t="shared" si="26"/>
        <v>1.331967213114754E-2</v>
      </c>
      <c r="AX11">
        <f t="shared" si="27"/>
        <v>1.7741366568126845E-4</v>
      </c>
      <c r="AY11">
        <f t="shared" si="28"/>
        <v>-4.3185132289515558</v>
      </c>
      <c r="AZ11">
        <f t="shared" si="29"/>
        <v>-5.7521180303658014E-2</v>
      </c>
      <c r="BA11">
        <f t="shared" si="30"/>
        <v>-1.3992445938310347E-2</v>
      </c>
      <c r="BB11">
        <f t="shared" si="31"/>
        <v>8.7217468765167201</v>
      </c>
      <c r="BE11" t="s">
        <v>572</v>
      </c>
      <c r="BF11" s="1" t="s">
        <v>257</v>
      </c>
      <c r="BG11">
        <v>5</v>
      </c>
      <c r="BH11">
        <f>BG11/BG65*100</f>
        <v>0.60532687651331718</v>
      </c>
      <c r="BI11">
        <v>1</v>
      </c>
      <c r="BJ11">
        <v>3</v>
      </c>
      <c r="BK11">
        <v>1</v>
      </c>
      <c r="BN11">
        <f t="shared" si="6"/>
        <v>6.024096385542169E-3</v>
      </c>
      <c r="BO11">
        <f t="shared" si="7"/>
        <v>3.6289737262302225E-5</v>
      </c>
      <c r="BP11">
        <f t="shared" si="8"/>
        <v>-5.1119877883565428</v>
      </c>
      <c r="BQ11">
        <f t="shared" si="9"/>
        <v>-3.0795107158774357E-2</v>
      </c>
      <c r="BR11">
        <f t="shared" si="10"/>
        <v>-7.491134045040127E-3</v>
      </c>
      <c r="BS11">
        <f t="shared" si="11"/>
        <v>8.9298827999525709</v>
      </c>
      <c r="BV11" t="s">
        <v>303</v>
      </c>
      <c r="BW11" s="1" t="s">
        <v>19</v>
      </c>
      <c r="BX11">
        <v>10</v>
      </c>
      <c r="BY11">
        <v>41</v>
      </c>
      <c r="BZ11">
        <v>659</v>
      </c>
      <c r="CA11">
        <f t="shared" si="32"/>
        <v>710</v>
      </c>
      <c r="CB11">
        <f>CA11/CA49*100</f>
        <v>7.7996264967593101</v>
      </c>
      <c r="CC11">
        <f t="shared" si="33"/>
        <v>7.8836331334665777E-2</v>
      </c>
      <c r="CD11">
        <f t="shared" si="34"/>
        <v>6.215167138309205E-3</v>
      </c>
      <c r="CE11">
        <f t="shared" si="35"/>
        <v>-2.5403813308261558</v>
      </c>
      <c r="CF11">
        <f t="shared" si="36"/>
        <v>-0.20027434431341001</v>
      </c>
      <c r="CG11">
        <f t="shared" si="37"/>
        <v>-5.2611531716197368E-2</v>
      </c>
      <c r="CH11">
        <f t="shared" si="38"/>
        <v>4.8264299747314352</v>
      </c>
      <c r="CK11" t="s">
        <v>303</v>
      </c>
      <c r="CL11" s="1" t="s">
        <v>19</v>
      </c>
      <c r="CM11">
        <v>38</v>
      </c>
      <c r="CN11">
        <v>31</v>
      </c>
      <c r="CO11">
        <v>20</v>
      </c>
      <c r="CP11">
        <f t="shared" si="39"/>
        <v>89</v>
      </c>
      <c r="CQ11" s="36">
        <f t="shared" si="40"/>
        <v>7.9749103942652333</v>
      </c>
      <c r="CR11">
        <f t="shared" si="41"/>
        <v>7.9393398751115077E-2</v>
      </c>
      <c r="CS11">
        <f t="shared" si="42"/>
        <v>6.3033117652535608E-3</v>
      </c>
      <c r="CT11">
        <f t="shared" si="43"/>
        <v>-2.5333400533400199</v>
      </c>
      <c r="CU11">
        <f t="shared" si="44"/>
        <v>-0.20113047702699532</v>
      </c>
      <c r="CV11">
        <f t="shared" si="45"/>
        <v>-5.3475079985183673E-2</v>
      </c>
      <c r="CW11">
        <f t="shared" si="46"/>
        <v>5.9850321673386508</v>
      </c>
      <c r="CZ11" t="s">
        <v>315</v>
      </c>
      <c r="DA11" s="1" t="s">
        <v>20</v>
      </c>
      <c r="DB11">
        <v>10</v>
      </c>
      <c r="DC11">
        <v>8</v>
      </c>
      <c r="DD11">
        <v>12</v>
      </c>
      <c r="DE11">
        <f t="shared" si="47"/>
        <v>30</v>
      </c>
      <c r="DF11" s="15">
        <f t="shared" si="48"/>
        <v>4.0431266846361185</v>
      </c>
      <c r="DG11">
        <f t="shared" si="49"/>
        <v>4.0322580645161289E-2</v>
      </c>
      <c r="DH11">
        <f t="shared" si="50"/>
        <v>1.6259105098855359E-3</v>
      </c>
      <c r="DI11">
        <f t="shared" si="51"/>
        <v>-3.2108436531709366</v>
      </c>
      <c r="DJ11">
        <f t="shared" si="52"/>
        <v>-0.12946950214398936</v>
      </c>
      <c r="DK11">
        <f t="shared" si="53"/>
        <v>-3.2022720852939605E-2</v>
      </c>
      <c r="DL11">
        <f t="shared" si="54"/>
        <v>8.4693969237312228</v>
      </c>
      <c r="DN11" t="s">
        <v>315</v>
      </c>
      <c r="DO11" s="1" t="s">
        <v>476</v>
      </c>
      <c r="DP11">
        <v>8</v>
      </c>
      <c r="DQ11">
        <f t="shared" si="55"/>
        <v>2.0671834625323</v>
      </c>
      <c r="DR11">
        <f t="shared" si="56"/>
        <v>2.0671834625322998E-2</v>
      </c>
      <c r="DS11">
        <f t="shared" si="57"/>
        <v>4.2732474677670284E-4</v>
      </c>
      <c r="DT11">
        <f t="shared" si="58"/>
        <v>-3.8789831513499458</v>
      </c>
      <c r="DU11">
        <f t="shared" si="59"/>
        <v>-8.0185698219120333E-2</v>
      </c>
      <c r="DV11">
        <f t="shared" si="60"/>
        <v>-2.2206458346321553E-2</v>
      </c>
      <c r="DW11">
        <f t="shared" si="61"/>
        <v>6.0418654014563815</v>
      </c>
      <c r="DY11" t="s">
        <v>315</v>
      </c>
      <c r="DZ11" s="1" t="s">
        <v>20</v>
      </c>
      <c r="EA11">
        <v>5</v>
      </c>
      <c r="EB11">
        <v>10</v>
      </c>
      <c r="EC11">
        <v>2</v>
      </c>
      <c r="ED11">
        <f t="shared" si="62"/>
        <v>17</v>
      </c>
      <c r="EE11" s="15">
        <f t="shared" si="63"/>
        <v>1.4249790444258172</v>
      </c>
      <c r="EF11">
        <f t="shared" si="64"/>
        <v>1.4249790444258172E-2</v>
      </c>
      <c r="EG11">
        <f t="shared" si="65"/>
        <v>2.030565277052715E-4</v>
      </c>
      <c r="EH11">
        <f t="shared" si="66"/>
        <v>-4.2510130780416997</v>
      </c>
      <c r="EI11">
        <f t="shared" si="67"/>
        <v>-6.0576045537895133E-2</v>
      </c>
      <c r="EJ11">
        <f t="shared" si="68"/>
        <v>-1.5647868805368122E-2</v>
      </c>
      <c r="EK11">
        <f t="shared" si="69"/>
        <v>6.6344576245322022</v>
      </c>
      <c r="EM11" t="s">
        <v>303</v>
      </c>
      <c r="EN11" s="1" t="s">
        <v>19</v>
      </c>
      <c r="EO11">
        <v>35</v>
      </c>
      <c r="EP11">
        <v>43</v>
      </c>
      <c r="EQ11">
        <v>33</v>
      </c>
      <c r="ER11">
        <v>55</v>
      </c>
      <c r="ES11">
        <f t="shared" si="70"/>
        <v>166</v>
      </c>
      <c r="ET11">
        <f t="shared" si="71"/>
        <v>2.0786376158276982</v>
      </c>
      <c r="EU11">
        <f t="shared" si="72"/>
        <v>2.0786376158276984E-2</v>
      </c>
      <c r="EV11">
        <f t="shared" si="73"/>
        <v>4.3207343379338581E-4</v>
      </c>
      <c r="EW11">
        <f t="shared" si="74"/>
        <v>-3.8734574992666233</v>
      </c>
      <c r="EX11">
        <f t="shared" si="75"/>
        <v>-8.051514461285493E-2</v>
      </c>
      <c r="EY11">
        <f t="shared" si="76"/>
        <v>-2.0688299676103455E-2</v>
      </c>
      <c r="EZ11">
        <f t="shared" si="77"/>
        <v>5.3419723189586055</v>
      </c>
      <c r="FB11" t="s">
        <v>303</v>
      </c>
      <c r="FC11" s="1" t="s">
        <v>19</v>
      </c>
      <c r="FD11">
        <v>5</v>
      </c>
      <c r="FE11">
        <v>32</v>
      </c>
      <c r="FF11">
        <v>22</v>
      </c>
      <c r="FG11">
        <v>15</v>
      </c>
      <c r="FH11">
        <f t="shared" si="78"/>
        <v>74</v>
      </c>
      <c r="FI11">
        <f t="shared" si="79"/>
        <v>1.3099663657284475</v>
      </c>
      <c r="FJ11">
        <f t="shared" si="80"/>
        <v>1.3099663657284474E-2</v>
      </c>
      <c r="FK11">
        <f t="shared" si="81"/>
        <v>1.7160118793397964E-4</v>
      </c>
      <c r="FL11">
        <f t="shared" si="82"/>
        <v>-4.3351687241210923</v>
      </c>
      <c r="FM11">
        <f t="shared" si="83"/>
        <v>-5.6789252183565377E-2</v>
      </c>
      <c r="FN11">
        <f t="shared" si="84"/>
        <v>-1.4516594637804324E-2</v>
      </c>
    </row>
    <row r="12" spans="1:170" x14ac:dyDescent="0.25">
      <c r="A12" t="s">
        <v>305</v>
      </c>
      <c r="B12" t="s">
        <v>535</v>
      </c>
      <c r="C12">
        <v>5</v>
      </c>
      <c r="D12">
        <f>(C12/C32)*100</f>
        <v>0.625</v>
      </c>
      <c r="E12">
        <f t="shared" si="0"/>
        <v>6.2500000000000003E-3</v>
      </c>
      <c r="F12">
        <f t="shared" si="1"/>
        <v>3.9062500000000008E-5</v>
      </c>
      <c r="G12">
        <f t="shared" si="2"/>
        <v>-5.0751738152338266</v>
      </c>
      <c r="H12">
        <f t="shared" si="3"/>
        <v>-3.1719836345211416E-2</v>
      </c>
      <c r="I12">
        <f t="shared" si="4"/>
        <v>-9.6242131011983617E-3</v>
      </c>
      <c r="J12">
        <f t="shared" si="5"/>
        <v>3.8895303211680581</v>
      </c>
      <c r="L12" t="s">
        <v>303</v>
      </c>
      <c r="M12" t="s">
        <v>104</v>
      </c>
      <c r="N12">
        <v>133</v>
      </c>
      <c r="O12">
        <f>N12/N46*100</f>
        <v>14.074074074074074</v>
      </c>
      <c r="P12">
        <f t="shared" si="12"/>
        <v>0.14074074074074075</v>
      </c>
      <c r="Q12">
        <f t="shared" si="13"/>
        <v>1.9807956104252403E-2</v>
      </c>
      <c r="R12">
        <f t="shared" si="14"/>
        <v>-1.9608357992719889</v>
      </c>
      <c r="S12">
        <f t="shared" si="15"/>
        <v>-0.27596948286050216</v>
      </c>
      <c r="T12">
        <f t="shared" si="16"/>
        <v>-7.4313754493908993E-2</v>
      </c>
      <c r="U12">
        <f t="shared" si="17"/>
        <v>5.838406118550437</v>
      </c>
      <c r="W12" t="s">
        <v>303</v>
      </c>
      <c r="X12" s="10" t="s">
        <v>423</v>
      </c>
      <c r="Y12">
        <v>20</v>
      </c>
      <c r="AC12" s="9">
        <f t="shared" si="85"/>
        <v>20</v>
      </c>
      <c r="AD12" s="9">
        <f t="shared" si="18"/>
        <v>1.8264840182648401</v>
      </c>
      <c r="AE12" s="9">
        <f t="shared" si="19"/>
        <v>1.8264840182648401E-2</v>
      </c>
      <c r="AF12" s="9">
        <f t="shared" si="20"/>
        <v>3.3360438689768765E-4</v>
      </c>
      <c r="AG12" s="9">
        <f t="shared" si="21"/>
        <v>-4.0027773686966102</v>
      </c>
      <c r="AH12" s="9">
        <f t="shared" si="22"/>
        <v>-7.3110088925965475E-2</v>
      </c>
      <c r="AI12" s="9">
        <f t="shared" si="23"/>
        <v>-1.8885634902440617E-2</v>
      </c>
      <c r="AJ12" s="9">
        <f t="shared" si="24"/>
        <v>6.7608659905015571</v>
      </c>
      <c r="AK12" s="9"/>
      <c r="AL12" s="9"/>
      <c r="AM12" t="s">
        <v>315</v>
      </c>
      <c r="AN12" s="1" t="s">
        <v>434</v>
      </c>
      <c r="AO12" s="38">
        <f>AP12/969*100</f>
        <v>0.72239422084623317</v>
      </c>
      <c r="AP12">
        <v>7</v>
      </c>
      <c r="AQ12">
        <v>4</v>
      </c>
      <c r="AR12">
        <v>1</v>
      </c>
      <c r="AS12">
        <v>2</v>
      </c>
      <c r="AW12">
        <f t="shared" si="26"/>
        <v>7.1721311475409838E-3</v>
      </c>
      <c r="AX12">
        <f t="shared" si="27"/>
        <v>5.1439465197527547E-5</v>
      </c>
      <c r="AY12">
        <f t="shared" si="28"/>
        <v>-4.9375524373577795</v>
      </c>
      <c r="AZ12">
        <f t="shared" si="29"/>
        <v>-3.5412773628590632E-2</v>
      </c>
      <c r="BA12">
        <f t="shared" si="30"/>
        <v>-8.6144150364759666E-3</v>
      </c>
      <c r="BB12">
        <f t="shared" si="31"/>
        <v>8.7217468765167201</v>
      </c>
      <c r="BE12" t="s">
        <v>303</v>
      </c>
      <c r="BF12" s="1" t="s">
        <v>19</v>
      </c>
      <c r="BG12">
        <v>75</v>
      </c>
      <c r="BH12">
        <f>BG12/BG65*100</f>
        <v>9.079903147699758</v>
      </c>
      <c r="BI12">
        <v>13</v>
      </c>
      <c r="BJ12">
        <v>24</v>
      </c>
      <c r="BK12">
        <v>8</v>
      </c>
      <c r="BL12">
        <v>30</v>
      </c>
      <c r="BN12">
        <f t="shared" si="6"/>
        <v>9.036144578313253E-2</v>
      </c>
      <c r="BO12">
        <f t="shared" si="7"/>
        <v>8.1651908840180004E-3</v>
      </c>
      <c r="BP12">
        <f t="shared" si="8"/>
        <v>-2.4039375872543332</v>
      </c>
      <c r="BQ12">
        <f t="shared" si="9"/>
        <v>-0.21722327595671684</v>
      </c>
      <c r="BR12">
        <f t="shared" si="10"/>
        <v>-5.2841143546105862E-2</v>
      </c>
      <c r="BS12">
        <f t="shared" si="11"/>
        <v>8.9298827999525709</v>
      </c>
      <c r="BV12" t="s">
        <v>315</v>
      </c>
      <c r="BW12" s="18" t="s">
        <v>20</v>
      </c>
      <c r="BX12" s="15">
        <v>5</v>
      </c>
      <c r="BY12" s="15">
        <v>1</v>
      </c>
      <c r="BZ12" s="15">
        <v>7</v>
      </c>
      <c r="CA12" s="15">
        <f t="shared" si="32"/>
        <v>13</v>
      </c>
      <c r="CB12" s="15">
        <f>CA12/CA49*100</f>
        <v>0.14281006261671975</v>
      </c>
      <c r="CC12">
        <f t="shared" si="33"/>
        <v>1.4434821230290917E-3</v>
      </c>
      <c r="CD12">
        <f t="shared" si="34"/>
        <v>2.0836406395045741E-6</v>
      </c>
      <c r="CE12">
        <f t="shared" si="35"/>
        <v>-6.54069694339998</v>
      </c>
      <c r="CF12">
        <f t="shared" si="36"/>
        <v>-9.4413791099488935E-3</v>
      </c>
      <c r="CG12">
        <f t="shared" si="37"/>
        <v>-2.4802249044460342E-3</v>
      </c>
      <c r="CH12">
        <f t="shared" si="38"/>
        <v>4.8264299747314352</v>
      </c>
      <c r="CK12" t="s">
        <v>315</v>
      </c>
      <c r="CL12" s="1" t="s">
        <v>20</v>
      </c>
      <c r="CM12">
        <v>23</v>
      </c>
      <c r="CN12">
        <v>8</v>
      </c>
      <c r="CO12">
        <v>30</v>
      </c>
      <c r="CP12">
        <f t="shared" si="39"/>
        <v>61</v>
      </c>
      <c r="CQ12" s="36">
        <f t="shared" si="40"/>
        <v>5.4659498207885306</v>
      </c>
      <c r="CR12">
        <f t="shared" si="41"/>
        <v>5.4415700267618196E-2</v>
      </c>
      <c r="CS12">
        <f t="shared" si="42"/>
        <v>2.9610684356152629E-3</v>
      </c>
      <c r="CT12">
        <f t="shared" si="43"/>
        <v>-2.9111025588988486</v>
      </c>
      <c r="CU12">
        <f t="shared" si="44"/>
        <v>-0.1584096842933361</v>
      </c>
      <c r="CV12">
        <f t="shared" si="45"/>
        <v>-4.2116792359006262E-2</v>
      </c>
      <c r="CW12">
        <f t="shared" si="46"/>
        <v>5.9850321673386508</v>
      </c>
      <c r="CZ12" t="s">
        <v>315</v>
      </c>
      <c r="DA12" s="1" t="s">
        <v>476</v>
      </c>
      <c r="DB12">
        <v>18</v>
      </c>
      <c r="DC12">
        <v>3</v>
      </c>
      <c r="DD12">
        <v>22</v>
      </c>
      <c r="DE12">
        <f t="shared" si="47"/>
        <v>43</v>
      </c>
      <c r="DF12" s="36">
        <f t="shared" si="48"/>
        <v>5.7951482479784362</v>
      </c>
      <c r="DG12">
        <f t="shared" si="49"/>
        <v>5.779569892473118E-2</v>
      </c>
      <c r="DH12">
        <f t="shared" si="50"/>
        <v>3.3403428141981729E-3</v>
      </c>
      <c r="DI12">
        <f t="shared" si="51"/>
        <v>-2.8508409191395296</v>
      </c>
      <c r="DJ12">
        <f t="shared" si="52"/>
        <v>-0.16476634344489216</v>
      </c>
      <c r="DK12">
        <f t="shared" si="53"/>
        <v>-4.0752969114126687E-2</v>
      </c>
      <c r="DL12">
        <f t="shared" si="54"/>
        <v>8.4693969237312228</v>
      </c>
      <c r="DN12" t="s">
        <v>303</v>
      </c>
      <c r="DO12" s="1" t="s">
        <v>23</v>
      </c>
      <c r="DP12">
        <v>2</v>
      </c>
      <c r="DQ12">
        <f t="shared" si="55"/>
        <v>0.516795865633075</v>
      </c>
      <c r="DR12">
        <f t="shared" si="56"/>
        <v>5.1679586563307496E-3</v>
      </c>
      <c r="DS12">
        <f t="shared" si="57"/>
        <v>2.6707796673543928E-5</v>
      </c>
      <c r="DT12">
        <f t="shared" si="58"/>
        <v>-5.2652775124698366</v>
      </c>
      <c r="DU12">
        <f t="shared" si="59"/>
        <v>-2.7210736498552129E-2</v>
      </c>
      <c r="DV12">
        <f t="shared" si="60"/>
        <v>-7.5356840440125349E-3</v>
      </c>
      <c r="DW12">
        <f t="shared" si="61"/>
        <v>6.0418654014563815</v>
      </c>
      <c r="DY12" t="s">
        <v>315</v>
      </c>
      <c r="DZ12" s="1" t="s">
        <v>476</v>
      </c>
      <c r="EB12">
        <v>4</v>
      </c>
      <c r="ED12">
        <f t="shared" si="62"/>
        <v>4</v>
      </c>
      <c r="EE12">
        <f t="shared" si="63"/>
        <v>0.33528918692372173</v>
      </c>
      <c r="EF12">
        <f t="shared" si="64"/>
        <v>3.3528918692372171E-3</v>
      </c>
      <c r="EG12">
        <f t="shared" si="65"/>
        <v>1.1241883886797039E-5</v>
      </c>
      <c r="EH12">
        <f t="shared" si="66"/>
        <v>-5.6979320609780251</v>
      </c>
      <c r="EI12">
        <f t="shared" si="67"/>
        <v>-1.9104550078719279E-2</v>
      </c>
      <c r="EJ12">
        <f t="shared" si="68"/>
        <v>-4.9350447121935407E-3</v>
      </c>
      <c r="EK12">
        <f t="shared" si="69"/>
        <v>6.6344576245322022</v>
      </c>
      <c r="EM12" t="s">
        <v>315</v>
      </c>
      <c r="EN12" s="1" t="s">
        <v>20</v>
      </c>
      <c r="EO12">
        <v>2</v>
      </c>
      <c r="EP12">
        <v>6</v>
      </c>
      <c r="EQ12">
        <v>7</v>
      </c>
      <c r="ER12">
        <v>2</v>
      </c>
      <c r="ES12">
        <f t="shared" si="70"/>
        <v>17</v>
      </c>
      <c r="ET12" s="15">
        <f t="shared" si="71"/>
        <v>0.2128725269221137</v>
      </c>
      <c r="EU12">
        <f t="shared" si="72"/>
        <v>2.1287252692211369E-3</v>
      </c>
      <c r="EV12">
        <f t="shared" si="73"/>
        <v>4.5314712718206015E-6</v>
      </c>
      <c r="EW12">
        <f t="shared" si="74"/>
        <v>-6.1522319435669504</v>
      </c>
      <c r="EX12">
        <f t="shared" si="75"/>
        <v>-1.3096411600380435E-2</v>
      </c>
      <c r="EY12">
        <f t="shared" si="76"/>
        <v>-3.36511210621374E-3</v>
      </c>
      <c r="EZ12">
        <f t="shared" si="77"/>
        <v>5.3419723189586055</v>
      </c>
      <c r="FB12" t="s">
        <v>315</v>
      </c>
      <c r="FC12" s="1" t="s">
        <v>20</v>
      </c>
      <c r="FD12">
        <v>1211</v>
      </c>
      <c r="FE12">
        <v>201</v>
      </c>
      <c r="FF12">
        <v>1503</v>
      </c>
      <c r="FG12">
        <v>88</v>
      </c>
      <c r="FH12">
        <f t="shared" si="78"/>
        <v>3003</v>
      </c>
      <c r="FI12" s="15">
        <f t="shared" si="79"/>
        <v>53.159851301115246</v>
      </c>
      <c r="FJ12">
        <f t="shared" si="80"/>
        <v>0.53159851301115246</v>
      </c>
      <c r="FK12">
        <f t="shared" si="81"/>
        <v>0.28259697903566844</v>
      </c>
      <c r="FL12">
        <f t="shared" si="82"/>
        <v>-0.63186674934193177</v>
      </c>
      <c r="FM12">
        <f t="shared" si="83"/>
        <v>-0.3358994243713615</v>
      </c>
      <c r="FN12">
        <f t="shared" si="84"/>
        <v>-8.5863356096138155E-2</v>
      </c>
    </row>
    <row r="13" spans="1:170" x14ac:dyDescent="0.25">
      <c r="A13" t="s">
        <v>303</v>
      </c>
      <c r="B13" t="s">
        <v>74</v>
      </c>
      <c r="C13">
        <v>137</v>
      </c>
      <c r="D13">
        <f>(C13/C32)*100</f>
        <v>17.125</v>
      </c>
      <c r="E13">
        <f t="shared" si="0"/>
        <v>0.17125000000000001</v>
      </c>
      <c r="F13">
        <f t="shared" si="1"/>
        <v>2.9326562500000004E-2</v>
      </c>
      <c r="G13">
        <f t="shared" si="2"/>
        <v>-1.7646308018398023</v>
      </c>
      <c r="H13">
        <f t="shared" si="3"/>
        <v>-0.30219302481506616</v>
      </c>
      <c r="I13">
        <f t="shared" si="4"/>
        <v>-9.1689315066563498E-2</v>
      </c>
      <c r="J13">
        <f t="shared" si="5"/>
        <v>3.8895303211680581</v>
      </c>
      <c r="L13" t="s">
        <v>303</v>
      </c>
      <c r="M13" t="s">
        <v>4</v>
      </c>
      <c r="N13">
        <v>133</v>
      </c>
      <c r="O13">
        <f>N13/N46*100</f>
        <v>14.074074074074074</v>
      </c>
      <c r="P13">
        <f t="shared" si="12"/>
        <v>0.14074074074074075</v>
      </c>
      <c r="Q13">
        <f t="shared" si="13"/>
        <v>1.9807956104252403E-2</v>
      </c>
      <c r="R13">
        <f t="shared" si="14"/>
        <v>-1.9608357992719889</v>
      </c>
      <c r="S13">
        <f t="shared" si="15"/>
        <v>-0.27596948286050216</v>
      </c>
      <c r="T13">
        <f t="shared" si="16"/>
        <v>-7.4313754493908993E-2</v>
      </c>
      <c r="U13">
        <f t="shared" si="17"/>
        <v>5.838406118550437</v>
      </c>
      <c r="W13" t="s">
        <v>303</v>
      </c>
      <c r="X13" s="10" t="s">
        <v>227</v>
      </c>
      <c r="Y13">
        <v>13</v>
      </c>
      <c r="AC13" s="9">
        <f t="shared" si="85"/>
        <v>13</v>
      </c>
      <c r="AD13" s="9">
        <f t="shared" si="18"/>
        <v>1.1872146118721461</v>
      </c>
      <c r="AE13" s="9">
        <f t="shared" si="19"/>
        <v>1.1872146118721462E-2</v>
      </c>
      <c r="AF13" s="9">
        <f t="shared" si="20"/>
        <v>1.4094785346427307E-4</v>
      </c>
      <c r="AG13" s="9">
        <f t="shared" si="21"/>
        <v>-4.4335602847890643</v>
      </c>
      <c r="AH13" s="9">
        <f t="shared" si="22"/>
        <v>-5.2635875527176107E-2</v>
      </c>
      <c r="AI13" s="9">
        <f t="shared" si="23"/>
        <v>-1.359678182012866E-2</v>
      </c>
      <c r="AJ13" s="9">
        <f t="shared" si="24"/>
        <v>6.7608659905015571</v>
      </c>
      <c r="AK13" s="9"/>
      <c r="AL13" s="9"/>
      <c r="AM13" t="s">
        <v>315</v>
      </c>
      <c r="AN13" s="1" t="s">
        <v>36</v>
      </c>
      <c r="AO13" s="2">
        <f t="shared" si="25"/>
        <v>0.82559339525283792</v>
      </c>
      <c r="AP13">
        <v>8</v>
      </c>
      <c r="AQ13">
        <v>3</v>
      </c>
      <c r="AR13">
        <v>2</v>
      </c>
      <c r="AS13">
        <v>3</v>
      </c>
      <c r="AW13">
        <f t="shared" si="26"/>
        <v>8.1967213114754103E-3</v>
      </c>
      <c r="AX13">
        <f t="shared" si="27"/>
        <v>6.718624025799517E-5</v>
      </c>
      <c r="AY13">
        <f t="shared" si="28"/>
        <v>-4.8040210447332568</v>
      </c>
      <c r="AZ13">
        <f t="shared" si="29"/>
        <v>-3.937722167814145E-2</v>
      </c>
      <c r="BA13">
        <f t="shared" si="30"/>
        <v>-9.5787958908975512E-3</v>
      </c>
      <c r="BB13">
        <f t="shared" si="31"/>
        <v>8.7217468765167201</v>
      </c>
      <c r="BE13" t="s">
        <v>315</v>
      </c>
      <c r="BF13" s="18" t="s">
        <v>20</v>
      </c>
      <c r="BG13" s="15">
        <v>31</v>
      </c>
      <c r="BH13" s="15">
        <f>BG13/BG65*100</f>
        <v>3.7530266343825671</v>
      </c>
      <c r="BI13">
        <v>4</v>
      </c>
      <c r="BJ13">
        <v>7</v>
      </c>
      <c r="BK13">
        <v>2</v>
      </c>
      <c r="BL13">
        <v>3</v>
      </c>
      <c r="BM13">
        <v>15</v>
      </c>
      <c r="BN13">
        <f t="shared" si="6"/>
        <v>3.7349397590361447E-2</v>
      </c>
      <c r="BO13">
        <f t="shared" si="7"/>
        <v>1.3949775003628975E-3</v>
      </c>
      <c r="BP13">
        <f t="shared" si="8"/>
        <v>-3.2874384963054974</v>
      </c>
      <c r="BQ13">
        <f t="shared" si="9"/>
        <v>-0.122783847452374</v>
      </c>
      <c r="BR13">
        <f t="shared" si="10"/>
        <v>-2.9868064919833192E-2</v>
      </c>
      <c r="BS13">
        <f t="shared" si="11"/>
        <v>8.9298827999525709</v>
      </c>
      <c r="BV13" t="s">
        <v>315</v>
      </c>
      <c r="BW13" s="18" t="s">
        <v>476</v>
      </c>
      <c r="BX13" s="15"/>
      <c r="BY13" s="15">
        <v>9</v>
      </c>
      <c r="BZ13" s="15">
        <v>34</v>
      </c>
      <c r="CA13" s="15">
        <f t="shared" si="32"/>
        <v>43</v>
      </c>
      <c r="CB13" s="15">
        <f>CA13/CA49*100</f>
        <v>0.4723717455783808</v>
      </c>
      <c r="CC13">
        <f t="shared" si="33"/>
        <v>4.7745947146346883E-3</v>
      </c>
      <c r="CD13">
        <f t="shared" si="34"/>
        <v>2.27967546890175E-5</v>
      </c>
      <c r="CE13">
        <f t="shared" si="35"/>
        <v>-5.3444461851679543</v>
      </c>
      <c r="CF13">
        <f t="shared" si="36"/>
        <v>-2.5517564508352436E-2</v>
      </c>
      <c r="CG13">
        <f t="shared" si="37"/>
        <v>-6.7033955799669738E-3</v>
      </c>
      <c r="CH13">
        <f t="shared" si="38"/>
        <v>4.8264299747314352</v>
      </c>
      <c r="CK13" t="s">
        <v>315</v>
      </c>
      <c r="CL13" s="1" t="s">
        <v>482</v>
      </c>
      <c r="CM13">
        <v>88</v>
      </c>
      <c r="CN13">
        <v>18</v>
      </c>
      <c r="CO13">
        <v>20</v>
      </c>
      <c r="CP13">
        <f t="shared" si="39"/>
        <v>126</v>
      </c>
      <c r="CQ13" s="36">
        <f t="shared" si="40"/>
        <v>11.29032258064516</v>
      </c>
      <c r="CR13">
        <f t="shared" si="41"/>
        <v>0.11239964317573595</v>
      </c>
      <c r="CS13">
        <f t="shared" si="42"/>
        <v>1.2633679786032765E-2</v>
      </c>
      <c r="CT13">
        <f t="shared" si="43"/>
        <v>-2.185694516120682</v>
      </c>
      <c r="CU13">
        <f t="shared" si="44"/>
        <v>-0.24567128370312749</v>
      </c>
      <c r="CV13">
        <f t="shared" si="45"/>
        <v>-6.5317259424210641E-2</v>
      </c>
      <c r="CW13">
        <f t="shared" si="46"/>
        <v>5.9850321673386508</v>
      </c>
      <c r="CZ13" t="s">
        <v>303</v>
      </c>
      <c r="DA13" s="1" t="s">
        <v>23</v>
      </c>
      <c r="DB13">
        <v>4</v>
      </c>
      <c r="DD13">
        <v>3</v>
      </c>
      <c r="DE13">
        <f t="shared" si="47"/>
        <v>7</v>
      </c>
      <c r="DF13" s="36">
        <f t="shared" si="48"/>
        <v>0.94339622641509435</v>
      </c>
      <c r="DG13">
        <f t="shared" si="49"/>
        <v>9.4086021505376347E-3</v>
      </c>
      <c r="DH13">
        <f t="shared" si="50"/>
        <v>8.8521794427101402E-5</v>
      </c>
      <c r="DI13">
        <f t="shared" si="51"/>
        <v>-4.6661308857777781</v>
      </c>
      <c r="DJ13">
        <f t="shared" si="52"/>
        <v>-4.3901769086618879E-2</v>
      </c>
      <c r="DK13">
        <f t="shared" si="53"/>
        <v>-1.0858573433359546E-2</v>
      </c>
      <c r="DL13">
        <f t="shared" si="54"/>
        <v>8.4693969237312228</v>
      </c>
      <c r="DN13" t="s">
        <v>303</v>
      </c>
      <c r="DO13" s="1" t="s">
        <v>274</v>
      </c>
      <c r="DP13">
        <v>53</v>
      </c>
      <c r="DQ13">
        <f t="shared" si="55"/>
        <v>13.695090439276486</v>
      </c>
      <c r="DR13">
        <f t="shared" si="56"/>
        <v>0.13695090439276486</v>
      </c>
      <c r="DS13">
        <f t="shared" si="57"/>
        <v>1.8755550213996223E-2</v>
      </c>
      <c r="DT13">
        <f t="shared" si="58"/>
        <v>-1.98813277947766</v>
      </c>
      <c r="DU13">
        <f t="shared" si="59"/>
        <v>-0.27227658220236689</v>
      </c>
      <c r="DV13">
        <f t="shared" si="60"/>
        <v>-7.5403703099687081E-2</v>
      </c>
      <c r="DW13">
        <f t="shared" si="61"/>
        <v>6.0418654014563815</v>
      </c>
      <c r="DY13" t="s">
        <v>303</v>
      </c>
      <c r="DZ13" s="1" t="s">
        <v>23</v>
      </c>
      <c r="EA13">
        <v>1</v>
      </c>
      <c r="ED13">
        <f t="shared" si="62"/>
        <v>1</v>
      </c>
      <c r="EE13">
        <f t="shared" si="63"/>
        <v>8.3822296730930432E-2</v>
      </c>
      <c r="EF13">
        <f t="shared" si="64"/>
        <v>8.3822296730930428E-4</v>
      </c>
      <c r="EG13">
        <f t="shared" si="65"/>
        <v>7.0261774292481497E-7</v>
      </c>
      <c r="EH13">
        <f t="shared" si="66"/>
        <v>-7.0842264220979159</v>
      </c>
      <c r="EI13">
        <f t="shared" si="67"/>
        <v>-5.9381612926218911E-3</v>
      </c>
      <c r="EJ13">
        <f t="shared" si="68"/>
        <v>-1.5339325640518077E-3</v>
      </c>
      <c r="EK13">
        <f t="shared" si="69"/>
        <v>6.6344576245322022</v>
      </c>
      <c r="EM13" t="s">
        <v>315</v>
      </c>
      <c r="EN13" s="1" t="s">
        <v>330</v>
      </c>
      <c r="EQ13">
        <v>5</v>
      </c>
      <c r="ES13">
        <f t="shared" si="70"/>
        <v>5</v>
      </c>
      <c r="ET13">
        <f t="shared" si="71"/>
        <v>6.2609566741798142E-2</v>
      </c>
      <c r="EU13">
        <f t="shared" si="72"/>
        <v>6.2609566741798147E-4</v>
      </c>
      <c r="EV13">
        <f t="shared" si="73"/>
        <v>3.9199578475956766E-7</v>
      </c>
      <c r="EW13">
        <f t="shared" si="74"/>
        <v>-7.376007375189066</v>
      </c>
      <c r="EX13">
        <f t="shared" si="75"/>
        <v>-4.6180862604489519E-3</v>
      </c>
      <c r="EY13">
        <f t="shared" si="76"/>
        <v>-1.1866134370826186E-3</v>
      </c>
      <c r="EZ13">
        <f t="shared" si="77"/>
        <v>5.3419723189586055</v>
      </c>
      <c r="FB13" t="s">
        <v>315</v>
      </c>
      <c r="FC13" s="1" t="s">
        <v>476</v>
      </c>
      <c r="FE13">
        <v>6</v>
      </c>
      <c r="FF13">
        <v>1</v>
      </c>
      <c r="FG13">
        <v>4</v>
      </c>
      <c r="FH13">
        <f t="shared" si="78"/>
        <v>11</v>
      </c>
      <c r="FI13">
        <f t="shared" si="79"/>
        <v>0.19472473004071517</v>
      </c>
      <c r="FJ13">
        <f t="shared" si="80"/>
        <v>1.9472473004071517E-3</v>
      </c>
      <c r="FK13">
        <f t="shared" si="81"/>
        <v>3.79177204894294E-6</v>
      </c>
      <c r="FL13">
        <f t="shared" si="82"/>
        <v>-6.2413385445268919</v>
      </c>
      <c r="FM13">
        <f t="shared" si="83"/>
        <v>-1.2153429631757091E-2</v>
      </c>
      <c r="FN13">
        <f t="shared" si="84"/>
        <v>-3.1066866464981272E-3</v>
      </c>
    </row>
    <row r="14" spans="1:170" x14ac:dyDescent="0.25">
      <c r="A14" t="s">
        <v>568</v>
      </c>
      <c r="B14" t="s">
        <v>550</v>
      </c>
      <c r="C14">
        <v>46</v>
      </c>
      <c r="D14">
        <f>(C14/C32)*100</f>
        <v>5.75</v>
      </c>
      <c r="E14">
        <f t="shared" si="0"/>
        <v>5.7500000000000002E-2</v>
      </c>
      <c r="F14">
        <f t="shared" si="1"/>
        <v>3.3062500000000002E-3</v>
      </c>
      <c r="G14">
        <f t="shared" si="2"/>
        <v>-2.855970331178832</v>
      </c>
      <c r="H14">
        <f t="shared" si="3"/>
        <v>-0.16421829404278285</v>
      </c>
      <c r="I14">
        <f t="shared" si="4"/>
        <v>-4.9825977655827081E-2</v>
      </c>
      <c r="J14">
        <f t="shared" si="5"/>
        <v>3.8895303211680581</v>
      </c>
      <c r="L14" t="s">
        <v>315</v>
      </c>
      <c r="M14" s="1" t="s">
        <v>51</v>
      </c>
      <c r="N14">
        <v>61</v>
      </c>
      <c r="O14">
        <f>N14/N46*100</f>
        <v>6.4550264550264549</v>
      </c>
      <c r="P14">
        <f t="shared" si="12"/>
        <v>6.4550264550264552E-2</v>
      </c>
      <c r="Q14">
        <f t="shared" si="13"/>
        <v>4.1667366535091408E-3</v>
      </c>
      <c r="R14">
        <f t="shared" si="14"/>
        <v>-2.7403110633204313</v>
      </c>
      <c r="S14">
        <f t="shared" si="15"/>
        <v>-0.17688780408735061</v>
      </c>
      <c r="T14">
        <f t="shared" si="16"/>
        <v>-4.7632791530644404E-2</v>
      </c>
      <c r="U14">
        <f t="shared" si="17"/>
        <v>5.838406118550437</v>
      </c>
      <c r="W14" t="s">
        <v>303</v>
      </c>
      <c r="X14" s="10" t="s">
        <v>424</v>
      </c>
      <c r="Y14">
        <v>3</v>
      </c>
      <c r="Z14">
        <v>2</v>
      </c>
      <c r="AC14" s="9">
        <f t="shared" si="85"/>
        <v>5</v>
      </c>
      <c r="AD14" s="9">
        <f t="shared" si="18"/>
        <v>0.45662100456621002</v>
      </c>
      <c r="AE14" s="9">
        <f t="shared" si="19"/>
        <v>4.5662100456621002E-3</v>
      </c>
      <c r="AF14" s="9">
        <f t="shared" si="20"/>
        <v>2.0850274181105478E-5</v>
      </c>
      <c r="AG14" s="9">
        <f t="shared" si="21"/>
        <v>-5.389071729816501</v>
      </c>
      <c r="AH14" s="9">
        <f t="shared" si="22"/>
        <v>-2.4607633469481738E-2</v>
      </c>
      <c r="AI14" s="9">
        <f t="shared" si="23"/>
        <v>-6.3565889242498024E-3</v>
      </c>
      <c r="AJ14" s="9">
        <f t="shared" si="24"/>
        <v>6.7608659905015571</v>
      </c>
      <c r="AK14" s="9"/>
      <c r="AL14" s="9"/>
      <c r="AM14" t="s">
        <v>303</v>
      </c>
      <c r="AN14" t="s">
        <v>7</v>
      </c>
      <c r="AO14" s="2">
        <f t="shared" si="25"/>
        <v>13.415892672858618</v>
      </c>
      <c r="AP14">
        <v>130</v>
      </c>
      <c r="AQ14">
        <v>32</v>
      </c>
      <c r="AR14">
        <v>20</v>
      </c>
      <c r="AS14">
        <v>33</v>
      </c>
      <c r="AT14">
        <v>45</v>
      </c>
      <c r="AW14">
        <f t="shared" si="26"/>
        <v>0.13319672131147542</v>
      </c>
      <c r="AX14">
        <f t="shared" si="27"/>
        <v>1.7741366568126849E-2</v>
      </c>
      <c r="AY14">
        <f t="shared" si="28"/>
        <v>-2.0159281359575099</v>
      </c>
      <c r="AZ14">
        <f t="shared" si="29"/>
        <v>-0.26851501810909456</v>
      </c>
      <c r="BA14">
        <f t="shared" si="30"/>
        <v>-6.5318233295657779E-2</v>
      </c>
      <c r="BB14">
        <f t="shared" si="31"/>
        <v>8.7217468765167201</v>
      </c>
      <c r="BE14" t="s">
        <v>303</v>
      </c>
      <c r="BF14" s="1" t="s">
        <v>21</v>
      </c>
      <c r="BG14">
        <v>19</v>
      </c>
      <c r="BH14">
        <f>BG14/BG65*100</f>
        <v>2.3002421307506054</v>
      </c>
      <c r="BI14">
        <v>4</v>
      </c>
      <c r="BJ14">
        <v>9</v>
      </c>
      <c r="BK14">
        <v>3</v>
      </c>
      <c r="BL14">
        <v>3</v>
      </c>
      <c r="BN14">
        <f t="shared" si="6"/>
        <v>2.289156626506024E-2</v>
      </c>
      <c r="BO14">
        <f t="shared" si="7"/>
        <v>5.2402380606764404E-4</v>
      </c>
      <c r="BP14">
        <f t="shared" si="8"/>
        <v>-3.776986721624203</v>
      </c>
      <c r="BQ14">
        <f t="shared" si="9"/>
        <v>-8.6461141820313073E-2</v>
      </c>
      <c r="BR14">
        <f t="shared" si="10"/>
        <v>-2.1032302298017658E-2</v>
      </c>
      <c r="BS14">
        <f t="shared" si="11"/>
        <v>8.9298827999525709</v>
      </c>
      <c r="BV14" t="s">
        <v>315</v>
      </c>
      <c r="BW14" s="18" t="s">
        <v>328</v>
      </c>
      <c r="BX14" s="15">
        <v>1</v>
      </c>
      <c r="BY14" s="15"/>
      <c r="BZ14" s="15">
        <v>2</v>
      </c>
      <c r="CA14" s="15">
        <f t="shared" si="32"/>
        <v>3</v>
      </c>
      <c r="CB14" s="15">
        <f>CA14/CA49*100</f>
        <v>3.29561682961661E-2</v>
      </c>
      <c r="CC14">
        <f t="shared" si="33"/>
        <v>3.3311125916055963E-4</v>
      </c>
      <c r="CD14">
        <f t="shared" si="34"/>
        <v>1.1096311097953352E-7</v>
      </c>
      <c r="CE14">
        <f t="shared" si="35"/>
        <v>-8.007034012193408</v>
      </c>
      <c r="CF14">
        <f t="shared" si="36"/>
        <v>-2.6672331819431738E-3</v>
      </c>
      <c r="CG14">
        <f t="shared" si="37"/>
        <v>-7.0067498474342155E-4</v>
      </c>
      <c r="CH14">
        <f t="shared" si="38"/>
        <v>4.8264299747314352</v>
      </c>
      <c r="CK14" t="s">
        <v>303</v>
      </c>
      <c r="CL14" s="1" t="s">
        <v>23</v>
      </c>
      <c r="CN14">
        <v>2</v>
      </c>
      <c r="CP14">
        <f t="shared" si="39"/>
        <v>2</v>
      </c>
      <c r="CQ14" s="36">
        <f t="shared" si="40"/>
        <v>0.17921146953405018</v>
      </c>
      <c r="CR14">
        <f t="shared" si="41"/>
        <v>1.7841213202497771E-3</v>
      </c>
      <c r="CS14">
        <f t="shared" si="42"/>
        <v>3.1830888853698077E-6</v>
      </c>
      <c r="CT14">
        <f t="shared" si="43"/>
        <v>-6.3288292425122146</v>
      </c>
      <c r="CU14">
        <f>CR14*CT14</f>
        <v>-1.1291399183786289E-2</v>
      </c>
      <c r="CV14">
        <f t="shared" si="45"/>
        <v>-3.0020734968801742E-3</v>
      </c>
      <c r="CW14">
        <f t="shared" si="46"/>
        <v>5.9850321673386508</v>
      </c>
      <c r="CZ14" t="s">
        <v>303</v>
      </c>
      <c r="DA14" s="1" t="s">
        <v>274</v>
      </c>
      <c r="DB14">
        <v>10</v>
      </c>
      <c r="DC14">
        <v>7</v>
      </c>
      <c r="DD14">
        <v>38</v>
      </c>
      <c r="DE14">
        <f t="shared" si="47"/>
        <v>55</v>
      </c>
      <c r="DF14" s="36">
        <f t="shared" si="48"/>
        <v>7.4123989218328843</v>
      </c>
      <c r="DG14">
        <f t="shared" si="49"/>
        <v>7.3924731182795703E-2</v>
      </c>
      <c r="DH14">
        <f t="shared" si="50"/>
        <v>5.4648658804486074E-3</v>
      </c>
      <c r="DI14">
        <f t="shared" si="51"/>
        <v>-2.6047078496006209</v>
      </c>
      <c r="DJ14">
        <f t="shared" si="52"/>
        <v>-0.19255232759144375</v>
      </c>
      <c r="DK14">
        <f t="shared" si="53"/>
        <v>-4.7625497386921428E-2</v>
      </c>
      <c r="DL14">
        <f t="shared" si="54"/>
        <v>8.4693969237312228</v>
      </c>
      <c r="DN14" t="s">
        <v>303</v>
      </c>
      <c r="DO14" s="1" t="s">
        <v>243</v>
      </c>
      <c r="DP14">
        <v>3</v>
      </c>
      <c r="DQ14">
        <f t="shared" si="55"/>
        <v>0.77519379844961245</v>
      </c>
      <c r="DR14">
        <f t="shared" si="56"/>
        <v>7.7519379844961239E-3</v>
      </c>
      <c r="DS14">
        <f t="shared" si="57"/>
        <v>6.0092542515473829E-5</v>
      </c>
      <c r="DT14">
        <f t="shared" si="58"/>
        <v>-4.8598124043616719</v>
      </c>
      <c r="DU14">
        <f t="shared" si="59"/>
        <v>-3.7672964374896679E-2</v>
      </c>
      <c r="DV14">
        <f t="shared" si="60"/>
        <v>-1.0433071392450819E-2</v>
      </c>
      <c r="DW14">
        <f t="shared" si="61"/>
        <v>6.0418654014563815</v>
      </c>
      <c r="DY14" t="s">
        <v>303</v>
      </c>
      <c r="DZ14" s="1" t="s">
        <v>274</v>
      </c>
      <c r="EA14">
        <v>128</v>
      </c>
      <c r="EB14">
        <v>54</v>
      </c>
      <c r="EC14">
        <v>68</v>
      </c>
      <c r="ED14">
        <f t="shared" si="62"/>
        <v>250</v>
      </c>
      <c r="EE14">
        <f t="shared" si="63"/>
        <v>20.955574182732605</v>
      </c>
      <c r="EF14">
        <f t="shared" si="64"/>
        <v>0.20955574182732606</v>
      </c>
      <c r="EG14">
        <f t="shared" si="65"/>
        <v>4.3913608932800934E-2</v>
      </c>
      <c r="EH14">
        <f t="shared" si="66"/>
        <v>-1.5627655042356696</v>
      </c>
      <c r="EI14">
        <f t="shared" si="67"/>
        <v>-0.32748648454226104</v>
      </c>
      <c r="EJ14">
        <f t="shared" si="68"/>
        <v>-8.4595577346539663E-2</v>
      </c>
      <c r="EK14">
        <f t="shared" si="69"/>
        <v>6.6344576245322022</v>
      </c>
      <c r="EM14" t="s">
        <v>303</v>
      </c>
      <c r="EN14" s="1" t="s">
        <v>23</v>
      </c>
      <c r="EO14">
        <v>3</v>
      </c>
      <c r="EP14">
        <v>10</v>
      </c>
      <c r="EQ14">
        <v>2</v>
      </c>
      <c r="ES14">
        <f t="shared" si="70"/>
        <v>15</v>
      </c>
      <c r="ET14">
        <f t="shared" si="71"/>
        <v>0.18782870022539444</v>
      </c>
      <c r="EU14">
        <f t="shared" si="72"/>
        <v>1.8782870022539444E-3</v>
      </c>
      <c r="EV14">
        <f t="shared" si="73"/>
        <v>3.5279620628361089E-6</v>
      </c>
      <c r="EW14">
        <f t="shared" si="74"/>
        <v>-6.2773950865209569</v>
      </c>
      <c r="EX14">
        <f t="shared" si="75"/>
        <v>-1.1790749599025088E-2</v>
      </c>
      <c r="EY14">
        <f t="shared" si="76"/>
        <v>-3.0296233371178978E-3</v>
      </c>
      <c r="EZ14">
        <f t="shared" si="77"/>
        <v>5.3419723189586055</v>
      </c>
      <c r="FB14" t="s">
        <v>303</v>
      </c>
      <c r="FC14" s="1" t="s">
        <v>23</v>
      </c>
      <c r="FD14">
        <v>2</v>
      </c>
      <c r="FE14">
        <v>3</v>
      </c>
      <c r="FF14">
        <v>1</v>
      </c>
      <c r="FH14">
        <f t="shared" si="78"/>
        <v>6</v>
      </c>
      <c r="FI14">
        <f t="shared" si="79"/>
        <v>0.10621348911311736</v>
      </c>
      <c r="FJ14">
        <f t="shared" si="80"/>
        <v>1.0621348911311736E-3</v>
      </c>
      <c r="FK14">
        <f t="shared" si="81"/>
        <v>1.12813052695823E-6</v>
      </c>
      <c r="FL14">
        <f t="shared" si="82"/>
        <v>-6.8474743480972071</v>
      </c>
      <c r="FM14">
        <f t="shared" si="83"/>
        <v>-7.2729414212397312E-3</v>
      </c>
      <c r="FN14">
        <f t="shared" si="84"/>
        <v>-1.859125422102101E-3</v>
      </c>
    </row>
    <row r="15" spans="1:170" x14ac:dyDescent="0.25">
      <c r="A15" t="s">
        <v>303</v>
      </c>
      <c r="B15" t="s">
        <v>109</v>
      </c>
      <c r="C15">
        <v>19</v>
      </c>
      <c r="D15">
        <f>(C15/C32)*100</f>
        <v>2.375</v>
      </c>
      <c r="E15">
        <f t="shared" si="0"/>
        <v>2.375E-2</v>
      </c>
      <c r="F15">
        <f t="shared" si="1"/>
        <v>5.640625E-4</v>
      </c>
      <c r="G15">
        <f t="shared" si="2"/>
        <v>-3.7401727485014868</v>
      </c>
      <c r="H15">
        <f t="shared" si="3"/>
        <v>-8.8829102776910307E-2</v>
      </c>
      <c r="I15">
        <f t="shared" si="4"/>
        <v>-2.6951911271203565E-2</v>
      </c>
      <c r="J15">
        <f t="shared" si="5"/>
        <v>3.8895303211680581</v>
      </c>
      <c r="L15" t="s">
        <v>568</v>
      </c>
      <c r="M15" t="s">
        <v>549</v>
      </c>
      <c r="N15">
        <v>16</v>
      </c>
      <c r="O15">
        <f>N15/N46*100</f>
        <v>1.6931216931216932</v>
      </c>
      <c r="P15">
        <f t="shared" si="12"/>
        <v>1.6931216931216932E-2</v>
      </c>
      <c r="Q15">
        <f t="shared" si="13"/>
        <v>2.8666610677192689E-4</v>
      </c>
      <c r="R15">
        <f t="shared" si="14"/>
        <v>-4.0785962052539615</v>
      </c>
      <c r="S15">
        <f t="shared" si="15"/>
        <v>-6.9055597125993004E-2</v>
      </c>
      <c r="T15">
        <f t="shared" si="16"/>
        <v>-1.8595464389971547E-2</v>
      </c>
      <c r="U15">
        <f t="shared" si="17"/>
        <v>5.838406118550437</v>
      </c>
      <c r="W15" t="s">
        <v>315</v>
      </c>
      <c r="X15" s="10" t="s">
        <v>425</v>
      </c>
      <c r="Y15">
        <v>25</v>
      </c>
      <c r="Z15">
        <v>24</v>
      </c>
      <c r="AA15">
        <v>21</v>
      </c>
      <c r="AB15">
        <v>14</v>
      </c>
      <c r="AC15" s="9">
        <f>SUM(Y15:AB15)</f>
        <v>84</v>
      </c>
      <c r="AD15" s="15">
        <f t="shared" si="18"/>
        <v>7.6712328767123292</v>
      </c>
      <c r="AE15" s="9">
        <f t="shared" si="19"/>
        <v>7.6712328767123292E-2</v>
      </c>
      <c r="AF15" s="9">
        <f t="shared" si="20"/>
        <v>5.8847813848752119E-3</v>
      </c>
      <c r="AG15" s="9">
        <f t="shared" si="21"/>
        <v>-2.5676928434072877</v>
      </c>
      <c r="AH15" s="9">
        <f t="shared" si="22"/>
        <v>-0.19697369757644947</v>
      </c>
      <c r="AI15" s="9">
        <f t="shared" si="23"/>
        <v>-5.0881805677730575E-2</v>
      </c>
      <c r="AJ15" s="9">
        <f t="shared" si="24"/>
        <v>6.7608659905015571</v>
      </c>
      <c r="AK15" s="9"/>
      <c r="AL15" s="9"/>
      <c r="AM15" t="s">
        <v>303</v>
      </c>
      <c r="AN15" s="1" t="s">
        <v>435</v>
      </c>
      <c r="AO15" s="2">
        <f t="shared" si="25"/>
        <v>1.3415892672858616</v>
      </c>
      <c r="AP15">
        <v>13</v>
      </c>
      <c r="AQ15">
        <v>2</v>
      </c>
      <c r="AR15">
        <v>6</v>
      </c>
      <c r="AS15">
        <v>4</v>
      </c>
      <c r="AT15">
        <v>1</v>
      </c>
      <c r="AW15">
        <f t="shared" si="26"/>
        <v>1.331967213114754E-2</v>
      </c>
      <c r="AX15">
        <f t="shared" si="27"/>
        <v>1.7741366568126845E-4</v>
      </c>
      <c r="AY15">
        <f t="shared" si="28"/>
        <v>-4.3185132289515558</v>
      </c>
      <c r="AZ15">
        <f t="shared" si="29"/>
        <v>-5.7521180303658014E-2</v>
      </c>
      <c r="BA15">
        <f t="shared" si="30"/>
        <v>-1.3992445938310347E-2</v>
      </c>
      <c r="BB15">
        <f t="shared" si="31"/>
        <v>8.7217468765167201</v>
      </c>
      <c r="BE15" t="s">
        <v>315</v>
      </c>
      <c r="BF15" s="18" t="s">
        <v>22</v>
      </c>
      <c r="BG15" s="15">
        <v>9</v>
      </c>
      <c r="BH15" s="15">
        <f>BG15/BG65*100</f>
        <v>1.0895883777239708</v>
      </c>
      <c r="BI15">
        <v>3</v>
      </c>
      <c r="BJ15">
        <v>3</v>
      </c>
      <c r="BK15">
        <v>3</v>
      </c>
      <c r="BN15">
        <f t="shared" si="6"/>
        <v>1.0843373493975903E-2</v>
      </c>
      <c r="BO15">
        <f t="shared" si="7"/>
        <v>1.1757874872985919E-4</v>
      </c>
      <c r="BP15">
        <f t="shared" si="8"/>
        <v>-4.5242011234544242</v>
      </c>
      <c r="BQ15">
        <f t="shared" si="9"/>
        <v>-4.905760254348171E-2</v>
      </c>
      <c r="BR15">
        <f t="shared" si="10"/>
        <v>-1.1933619022228769E-2</v>
      </c>
      <c r="BS15">
        <f t="shared" si="11"/>
        <v>8.9298827999525709</v>
      </c>
      <c r="BV15" t="s">
        <v>303</v>
      </c>
      <c r="BW15" s="1" t="s">
        <v>23</v>
      </c>
      <c r="BY15">
        <v>1</v>
      </c>
      <c r="CA15">
        <f t="shared" si="32"/>
        <v>1</v>
      </c>
      <c r="CB15">
        <f>CA15/CA49*100</f>
        <v>1.0985389432055367E-2</v>
      </c>
      <c r="CC15">
        <f t="shared" si="33"/>
        <v>1.1103708638685321E-4</v>
      </c>
      <c r="CD15">
        <f t="shared" si="34"/>
        <v>1.2329234553281503E-8</v>
      </c>
      <c r="CE15">
        <f t="shared" si="35"/>
        <v>-9.1056463008615172</v>
      </c>
      <c r="CF15">
        <f t="shared" si="36"/>
        <v>-1.0110644349168906E-3</v>
      </c>
      <c r="CG15">
        <f t="shared" si="37"/>
        <v>-2.6560390831441814E-4</v>
      </c>
      <c r="CH15">
        <f t="shared" si="38"/>
        <v>4.8264299747314352</v>
      </c>
      <c r="CK15" t="s">
        <v>303</v>
      </c>
      <c r="CL15" s="1" t="s">
        <v>274</v>
      </c>
      <c r="CN15">
        <v>21</v>
      </c>
      <c r="CO15">
        <v>13</v>
      </c>
      <c r="CP15">
        <v>149</v>
      </c>
      <c r="CQ15" s="36">
        <f t="shared" si="40"/>
        <v>13.351254480286739</v>
      </c>
      <c r="CR15">
        <f t="shared" si="41"/>
        <v>0.13291703835860838</v>
      </c>
      <c r="CS15">
        <f t="shared" si="42"/>
        <v>1.7666939086023771E-2</v>
      </c>
      <c r="CT15">
        <f t="shared" si="43"/>
        <v>-2.0180301171267008</v>
      </c>
      <c r="CU15">
        <f t="shared" si="44"/>
        <v>-0.26823058648695663</v>
      </c>
      <c r="CV15">
        <f t="shared" si="45"/>
        <v>-7.1315159586369178E-2</v>
      </c>
      <c r="CW15">
        <f t="shared" si="46"/>
        <v>5.9850321673386508</v>
      </c>
      <c r="CZ15" t="s">
        <v>303</v>
      </c>
      <c r="DA15" s="1" t="s">
        <v>243</v>
      </c>
      <c r="DC15">
        <v>2</v>
      </c>
      <c r="DD15">
        <v>5</v>
      </c>
      <c r="DE15">
        <f t="shared" si="47"/>
        <v>7</v>
      </c>
      <c r="DF15" s="36">
        <f t="shared" si="48"/>
        <v>0.94339622641509435</v>
      </c>
      <c r="DG15">
        <f t="shared" si="49"/>
        <v>9.4086021505376347E-3</v>
      </c>
      <c r="DH15">
        <f t="shared" si="50"/>
        <v>8.8521794427101402E-5</v>
      </c>
      <c r="DI15">
        <f t="shared" si="51"/>
        <v>-4.6661308857777781</v>
      </c>
      <c r="DJ15">
        <f t="shared" si="52"/>
        <v>-4.3901769086618879E-2</v>
      </c>
      <c r="DK15">
        <f t="shared" si="53"/>
        <v>-1.0858573433359546E-2</v>
      </c>
      <c r="DL15">
        <f t="shared" si="54"/>
        <v>8.4693969237312228</v>
      </c>
      <c r="DN15" t="s">
        <v>303</v>
      </c>
      <c r="DO15" s="1" t="s">
        <v>414</v>
      </c>
      <c r="DP15">
        <v>3</v>
      </c>
      <c r="DQ15">
        <f t="shared" si="55"/>
        <v>0.77519379844961245</v>
      </c>
      <c r="DR15">
        <f t="shared" si="56"/>
        <v>7.7519379844961239E-3</v>
      </c>
      <c r="DS15">
        <f t="shared" si="57"/>
        <v>6.0092542515473829E-5</v>
      </c>
      <c r="DT15">
        <f t="shared" si="58"/>
        <v>-4.8598124043616719</v>
      </c>
      <c r="DU15">
        <f t="shared" si="59"/>
        <v>-3.7672964374896679E-2</v>
      </c>
      <c r="DV15">
        <f t="shared" si="60"/>
        <v>-1.0433071392450819E-2</v>
      </c>
      <c r="DW15">
        <f t="shared" si="61"/>
        <v>6.0418654014563815</v>
      </c>
      <c r="DY15" t="s">
        <v>303</v>
      </c>
      <c r="DZ15" s="1" t="s">
        <v>502</v>
      </c>
      <c r="EA15">
        <v>2</v>
      </c>
      <c r="EB15">
        <v>7</v>
      </c>
      <c r="EC15">
        <v>1</v>
      </c>
      <c r="ED15">
        <f t="shared" si="62"/>
        <v>10</v>
      </c>
      <c r="EE15">
        <f t="shared" si="63"/>
        <v>0.83822296730930423</v>
      </c>
      <c r="EF15">
        <f t="shared" si="64"/>
        <v>8.3822296730930428E-3</v>
      </c>
      <c r="EG15">
        <f t="shared" si="65"/>
        <v>7.0261774292481501E-5</v>
      </c>
      <c r="EH15">
        <f t="shared" si="66"/>
        <v>-4.7816413291038709</v>
      </c>
      <c r="EI15">
        <f t="shared" si="67"/>
        <v>-4.0080815834902521E-2</v>
      </c>
      <c r="EJ15">
        <f t="shared" si="68"/>
        <v>-1.035358683828784E-2</v>
      </c>
      <c r="EK15">
        <f t="shared" si="69"/>
        <v>6.6344576245322022</v>
      </c>
      <c r="EM15" t="s">
        <v>303</v>
      </c>
      <c r="EN15" s="1" t="s">
        <v>274</v>
      </c>
      <c r="EO15">
        <v>27</v>
      </c>
      <c r="EP15">
        <v>38</v>
      </c>
      <c r="EQ15">
        <v>1300</v>
      </c>
      <c r="ER15">
        <v>1095</v>
      </c>
      <c r="ES15">
        <f t="shared" si="70"/>
        <v>2460</v>
      </c>
      <c r="ET15">
        <f t="shared" si="71"/>
        <v>30.803906836964689</v>
      </c>
      <c r="EU15">
        <f t="shared" si="72"/>
        <v>0.3080390683696469</v>
      </c>
      <c r="EV15">
        <f t="shared" si="73"/>
        <v>9.4888067642039997E-2</v>
      </c>
      <c r="EW15">
        <f t="shared" si="74"/>
        <v>-1.1775286586967582</v>
      </c>
      <c r="EX15">
        <f t="shared" si="75"/>
        <v>-0.36272483100350927</v>
      </c>
      <c r="EY15">
        <f t="shared" si="76"/>
        <v>-9.3201844694525693E-2</v>
      </c>
      <c r="EZ15">
        <f t="shared" si="77"/>
        <v>5.3419723189586055</v>
      </c>
      <c r="FB15" t="s">
        <v>303</v>
      </c>
      <c r="FC15" s="1" t="s">
        <v>274</v>
      </c>
      <c r="FD15">
        <v>2</v>
      </c>
      <c r="FE15">
        <v>8</v>
      </c>
      <c r="FF15">
        <v>5</v>
      </c>
      <c r="FG15">
        <v>12</v>
      </c>
      <c r="FH15">
        <f t="shared" si="78"/>
        <v>27</v>
      </c>
      <c r="FI15">
        <f t="shared" si="79"/>
        <v>0.47796070100902821</v>
      </c>
      <c r="FJ15">
        <f t="shared" si="80"/>
        <v>4.7796070100902819E-3</v>
      </c>
      <c r="FK15">
        <f t="shared" si="81"/>
        <v>2.2844643170904163E-5</v>
      </c>
      <c r="FL15">
        <f t="shared" si="82"/>
        <v>-5.3433969513209325</v>
      </c>
      <c r="FM15">
        <f t="shared" si="83"/>
        <v>-2.553933752622857E-2</v>
      </c>
      <c r="FN15">
        <f t="shared" si="84"/>
        <v>-6.5284221209311252E-3</v>
      </c>
    </row>
    <row r="16" spans="1:170" x14ac:dyDescent="0.25">
      <c r="A16" t="s">
        <v>303</v>
      </c>
      <c r="B16" t="s">
        <v>118</v>
      </c>
      <c r="C16">
        <v>53</v>
      </c>
      <c r="D16">
        <f>(C16/C32)*100</f>
        <v>6.625</v>
      </c>
      <c r="E16">
        <f t="shared" si="0"/>
        <v>6.6250000000000003E-2</v>
      </c>
      <c r="F16">
        <f t="shared" si="1"/>
        <v>4.3890625000000006E-3</v>
      </c>
      <c r="G16">
        <f t="shared" si="2"/>
        <v>-2.7143198141158056</v>
      </c>
      <c r="H16">
        <f t="shared" si="3"/>
        <v>-0.17982368768517212</v>
      </c>
      <c r="I16">
        <f t="shared" si="4"/>
        <v>-5.4560858135912341E-2</v>
      </c>
      <c r="J16">
        <f t="shared" si="5"/>
        <v>3.8895303211680581</v>
      </c>
      <c r="L16" t="s">
        <v>303</v>
      </c>
      <c r="M16" t="s">
        <v>135</v>
      </c>
      <c r="N16">
        <v>17</v>
      </c>
      <c r="O16">
        <f>N16/N46*100</f>
        <v>1.7989417989417988</v>
      </c>
      <c r="P16">
        <f t="shared" si="12"/>
        <v>1.7989417989417989E-2</v>
      </c>
      <c r="Q16">
        <f t="shared" si="13"/>
        <v>3.2361915959799555E-4</v>
      </c>
      <c r="R16">
        <f t="shared" si="14"/>
        <v>-4.0179715834375269</v>
      </c>
      <c r="S16">
        <f t="shared" si="15"/>
        <v>-7.228097028406133E-2</v>
      </c>
      <c r="T16">
        <f t="shared" si="16"/>
        <v>-1.9464000963419752E-2</v>
      </c>
      <c r="U16">
        <f t="shared" si="17"/>
        <v>5.838406118550437</v>
      </c>
      <c r="W16" t="s">
        <v>315</v>
      </c>
      <c r="X16" s="10" t="s">
        <v>191</v>
      </c>
      <c r="Y16">
        <v>3</v>
      </c>
      <c r="Z16">
        <v>6</v>
      </c>
      <c r="AC16" s="9">
        <f>SUM(Y16:AA16)</f>
        <v>9</v>
      </c>
      <c r="AD16" s="15">
        <f t="shared" si="18"/>
        <v>0.82191780821917804</v>
      </c>
      <c r="AE16" s="9">
        <f t="shared" si="19"/>
        <v>8.21917808219178E-3</v>
      </c>
      <c r="AF16" s="9">
        <f t="shared" si="20"/>
        <v>6.7554888346781753E-5</v>
      </c>
      <c r="AG16" s="9">
        <f t="shared" si="21"/>
        <v>-4.8012850649143823</v>
      </c>
      <c r="AH16" s="9">
        <f t="shared" si="22"/>
        <v>-3.9462616971899032E-2</v>
      </c>
      <c r="AI16" s="9">
        <f t="shared" si="23"/>
        <v>-1.0193895088553949E-2</v>
      </c>
      <c r="AJ16" s="9">
        <f t="shared" si="24"/>
        <v>6.7608659905015571</v>
      </c>
      <c r="AK16" s="9"/>
      <c r="AL16" s="9"/>
      <c r="AM16" t="s">
        <v>303</v>
      </c>
      <c r="AN16" s="1" t="s">
        <v>8</v>
      </c>
      <c r="AO16" s="2">
        <f t="shared" si="25"/>
        <v>2.2703818369453046</v>
      </c>
      <c r="AP16">
        <v>22</v>
      </c>
      <c r="AQ16">
        <v>5</v>
      </c>
      <c r="AR16">
        <v>7</v>
      </c>
      <c r="AS16">
        <v>6</v>
      </c>
      <c r="AT16">
        <v>4</v>
      </c>
      <c r="AW16">
        <f t="shared" si="26"/>
        <v>2.2540983606557378E-2</v>
      </c>
      <c r="AX16">
        <f t="shared" si="27"/>
        <v>5.0809594195108849E-4</v>
      </c>
      <c r="AY16">
        <f t="shared" si="28"/>
        <v>-3.7924201330547764</v>
      </c>
      <c r="AZ16">
        <f t="shared" si="29"/>
        <v>-8.5484880048365866E-2</v>
      </c>
      <c r="BA16">
        <f t="shared" si="30"/>
        <v>-2.0794819513528594E-2</v>
      </c>
      <c r="BB16">
        <f t="shared" si="31"/>
        <v>8.7217468765167201</v>
      </c>
      <c r="BE16" t="s">
        <v>303</v>
      </c>
      <c r="BF16" s="1" t="s">
        <v>23</v>
      </c>
      <c r="BG16">
        <v>8</v>
      </c>
      <c r="BH16">
        <f>BG16/BG65*100</f>
        <v>0.96852300242130751</v>
      </c>
      <c r="BI16">
        <v>1</v>
      </c>
      <c r="BJ16">
        <v>1</v>
      </c>
      <c r="BK16">
        <v>3</v>
      </c>
      <c r="BL16">
        <v>3</v>
      </c>
      <c r="BN16">
        <f t="shared" si="6"/>
        <v>9.6385542168674707E-3</v>
      </c>
      <c r="BO16">
        <f t="shared" si="7"/>
        <v>9.2901727391493701E-5</v>
      </c>
      <c r="BP16">
        <f t="shared" si="8"/>
        <v>-4.641984159110808</v>
      </c>
      <c r="BQ16">
        <f t="shared" si="9"/>
        <v>-4.4742015991429476E-2</v>
      </c>
      <c r="BR16">
        <f t="shared" si="10"/>
        <v>-1.0883821170326035E-2</v>
      </c>
      <c r="BS16">
        <f t="shared" si="11"/>
        <v>8.9298827999525709</v>
      </c>
      <c r="BV16" t="s">
        <v>315</v>
      </c>
      <c r="BW16" s="1" t="s">
        <v>24</v>
      </c>
      <c r="BX16">
        <v>4</v>
      </c>
      <c r="BY16">
        <v>9</v>
      </c>
      <c r="BZ16">
        <v>34</v>
      </c>
      <c r="CA16">
        <f t="shared" si="32"/>
        <v>47</v>
      </c>
      <c r="CB16">
        <f>CA16/CA49*100</f>
        <v>0.5163133033066023</v>
      </c>
      <c r="CC16">
        <f t="shared" si="33"/>
        <v>5.2187430601821011E-3</v>
      </c>
      <c r="CD16">
        <f t="shared" si="34"/>
        <v>2.7235279128198842E-5</v>
      </c>
      <c r="CE16">
        <f t="shared" si="35"/>
        <v>-5.2554986991514587</v>
      </c>
      <c r="CF16">
        <f t="shared" si="36"/>
        <v>-2.7427097363992736E-2</v>
      </c>
      <c r="CG16">
        <f t="shared" si="37"/>
        <v>-7.2050247264363034E-3</v>
      </c>
      <c r="CH16">
        <f t="shared" si="38"/>
        <v>4.8264299747314352</v>
      </c>
      <c r="CK16" t="s">
        <v>321</v>
      </c>
      <c r="CL16" s="1" t="s">
        <v>483</v>
      </c>
      <c r="CO16">
        <v>5</v>
      </c>
      <c r="CP16">
        <f t="shared" si="39"/>
        <v>5</v>
      </c>
      <c r="CQ16" s="36">
        <f t="shared" si="40"/>
        <v>0.4480286738351254</v>
      </c>
      <c r="CR16">
        <f t="shared" si="41"/>
        <v>4.4603033006244425E-3</v>
      </c>
      <c r="CS16">
        <f t="shared" si="42"/>
        <v>1.9894305533561297E-5</v>
      </c>
      <c r="CT16">
        <f t="shared" si="43"/>
        <v>-5.4125385106380595</v>
      </c>
      <c r="CU16">
        <f t="shared" si="44"/>
        <v>-2.4141563383755841E-2</v>
      </c>
      <c r="CV16">
        <f t="shared" si="45"/>
        <v>-6.4185798790724951E-3</v>
      </c>
      <c r="CW16">
        <f t="shared" si="46"/>
        <v>5.9850321673386508</v>
      </c>
      <c r="CZ16" t="s">
        <v>303</v>
      </c>
      <c r="DA16" s="1" t="s">
        <v>414</v>
      </c>
      <c r="DD16">
        <v>1</v>
      </c>
      <c r="DE16">
        <f t="shared" si="47"/>
        <v>1</v>
      </c>
      <c r="DF16" s="36">
        <f t="shared" si="48"/>
        <v>0.13477088948787064</v>
      </c>
      <c r="DG16">
        <f t="shared" si="49"/>
        <v>1.3440860215053765E-3</v>
      </c>
      <c r="DH16">
        <f t="shared" si="50"/>
        <v>1.8065672332061513E-6</v>
      </c>
      <c r="DI16">
        <f t="shared" si="51"/>
        <v>-6.6120410348330916</v>
      </c>
      <c r="DJ16">
        <f t="shared" si="52"/>
        <v>-8.8871519285391026E-3</v>
      </c>
      <c r="DK16">
        <f t="shared" si="53"/>
        <v>-2.1981299122380516E-3</v>
      </c>
      <c r="DL16">
        <f t="shared" si="54"/>
        <v>8.4693969237312228</v>
      </c>
      <c r="DN16" t="s">
        <v>303</v>
      </c>
      <c r="DO16" s="1" t="s">
        <v>28</v>
      </c>
      <c r="DP16">
        <v>5</v>
      </c>
      <c r="DQ16">
        <f t="shared" si="55"/>
        <v>1.2919896640826873</v>
      </c>
      <c r="DR16">
        <f t="shared" si="56"/>
        <v>1.2919896640826873E-2</v>
      </c>
      <c r="DS16">
        <f t="shared" si="57"/>
        <v>1.6692372920964951E-4</v>
      </c>
      <c r="DT16">
        <f t="shared" si="58"/>
        <v>-4.3489867805956814</v>
      </c>
      <c r="DU16">
        <f t="shared" si="59"/>
        <v>-5.6188459697618619E-2</v>
      </c>
      <c r="DV16">
        <f t="shared" si="60"/>
        <v>-1.5560713662546985E-2</v>
      </c>
      <c r="DW16">
        <f t="shared" si="61"/>
        <v>6.0418654014563815</v>
      </c>
      <c r="DY16" t="s">
        <v>303</v>
      </c>
      <c r="DZ16" s="2" t="s">
        <v>74</v>
      </c>
      <c r="EA16">
        <v>5</v>
      </c>
      <c r="EB16">
        <v>10</v>
      </c>
      <c r="ED16">
        <f t="shared" si="62"/>
        <v>15</v>
      </c>
      <c r="EE16">
        <f t="shared" si="63"/>
        <v>1.2573344509639564</v>
      </c>
      <c r="EF16">
        <f t="shared" si="64"/>
        <v>1.2573344509639563E-2</v>
      </c>
      <c r="EG16">
        <f t="shared" si="65"/>
        <v>1.5808899215808336E-4</v>
      </c>
      <c r="EH16">
        <f t="shared" si="66"/>
        <v>-4.3761762209957062</v>
      </c>
      <c r="EI16">
        <f t="shared" si="67"/>
        <v>-5.5023171261471576E-2</v>
      </c>
      <c r="EJ16">
        <f t="shared" si="68"/>
        <v>-1.4213462722920529E-2</v>
      </c>
      <c r="EK16">
        <f t="shared" si="69"/>
        <v>6.6344576245322022</v>
      </c>
      <c r="EM16" t="s">
        <v>303</v>
      </c>
      <c r="EN16" s="1" t="s">
        <v>414</v>
      </c>
      <c r="EO16">
        <v>1</v>
      </c>
      <c r="ER16">
        <v>1</v>
      </c>
      <c r="ES16">
        <f t="shared" si="70"/>
        <v>2</v>
      </c>
      <c r="ET16">
        <f t="shared" si="71"/>
        <v>2.5043826696719257E-2</v>
      </c>
      <c r="EU16">
        <f t="shared" si="72"/>
        <v>2.5043826696719256E-4</v>
      </c>
      <c r="EV16">
        <f t="shared" si="73"/>
        <v>6.2719325561530813E-8</v>
      </c>
      <c r="EW16">
        <f t="shared" si="74"/>
        <v>-8.2922981070632211</v>
      </c>
      <c r="EX16">
        <f t="shared" si="75"/>
        <v>-2.0767087671082446E-3</v>
      </c>
      <c r="EY16">
        <f t="shared" si="76"/>
        <v>-5.3360859650082777E-4</v>
      </c>
      <c r="EZ16">
        <f t="shared" si="77"/>
        <v>5.3419723189586055</v>
      </c>
      <c r="FB16" t="s">
        <v>303</v>
      </c>
      <c r="FC16" s="1" t="s">
        <v>414</v>
      </c>
      <c r="FD16">
        <v>1</v>
      </c>
      <c r="FE16">
        <v>3</v>
      </c>
      <c r="FF16">
        <v>2</v>
      </c>
      <c r="FG16">
        <v>3</v>
      </c>
      <c r="FH16">
        <f t="shared" si="78"/>
        <v>9</v>
      </c>
      <c r="FI16">
        <f t="shared" si="79"/>
        <v>0.15932023366967604</v>
      </c>
      <c r="FJ16">
        <f t="shared" si="80"/>
        <v>1.5932023366967605E-3</v>
      </c>
      <c r="FK16">
        <f t="shared" si="81"/>
        <v>2.5382936856560179E-6</v>
      </c>
      <c r="FL16">
        <f t="shared" si="82"/>
        <v>-6.4420092399890425</v>
      </c>
      <c r="FM16">
        <f t="shared" si="83"/>
        <v>-1.0263424174172664E-2</v>
      </c>
      <c r="FN16">
        <f t="shared" si="84"/>
        <v>-2.6235592581975112E-3</v>
      </c>
    </row>
    <row r="17" spans="1:170" x14ac:dyDescent="0.25">
      <c r="A17" t="s">
        <v>303</v>
      </c>
      <c r="B17" t="s">
        <v>119</v>
      </c>
      <c r="C17">
        <v>25</v>
      </c>
      <c r="D17">
        <f>(C17/C32)*100</f>
        <v>3.125</v>
      </c>
      <c r="E17">
        <f t="shared" si="0"/>
        <v>3.125E-2</v>
      </c>
      <c r="F17">
        <f t="shared" si="1"/>
        <v>9.765625E-4</v>
      </c>
      <c r="G17">
        <f t="shared" si="2"/>
        <v>-3.4657359027997265</v>
      </c>
      <c r="H17">
        <f t="shared" si="3"/>
        <v>-0.10830424696249145</v>
      </c>
      <c r="I17">
        <f t="shared" si="4"/>
        <v>-3.2860924665180077E-2</v>
      </c>
      <c r="J17">
        <f t="shared" si="5"/>
        <v>3.8895303211680581</v>
      </c>
      <c r="L17" t="s">
        <v>303</v>
      </c>
      <c r="M17" s="1" t="s">
        <v>139</v>
      </c>
      <c r="N17">
        <v>15</v>
      </c>
      <c r="O17">
        <f>N17/N46*100</f>
        <v>1.5873015873015872</v>
      </c>
      <c r="P17">
        <f t="shared" si="12"/>
        <v>1.5873015873015872E-2</v>
      </c>
      <c r="Q17">
        <f t="shared" si="13"/>
        <v>2.5195263290501383E-4</v>
      </c>
      <c r="R17">
        <f t="shared" si="14"/>
        <v>-4.1431347263915326</v>
      </c>
      <c r="S17">
        <f t="shared" si="15"/>
        <v>-6.5764043276056075E-2</v>
      </c>
      <c r="T17">
        <f t="shared" si="16"/>
        <v>-1.7709106513831528E-2</v>
      </c>
      <c r="U17">
        <f t="shared" si="17"/>
        <v>5.838406118550437</v>
      </c>
      <c r="W17" t="s">
        <v>303</v>
      </c>
      <c r="X17" s="10" t="s">
        <v>192</v>
      </c>
      <c r="Y17">
        <v>6</v>
      </c>
      <c r="Z17">
        <v>4</v>
      </c>
      <c r="AA17">
        <v>30</v>
      </c>
      <c r="AB17">
        <v>8</v>
      </c>
      <c r="AC17" s="9">
        <f>SUM(Y17:AB17)</f>
        <v>48</v>
      </c>
      <c r="AD17" s="9">
        <f t="shared" si="18"/>
        <v>4.3835616438356162</v>
      </c>
      <c r="AE17" s="9">
        <f t="shared" si="19"/>
        <v>4.3835616438356165E-2</v>
      </c>
      <c r="AF17" s="9">
        <f t="shared" si="20"/>
        <v>1.9215612685306812E-3</v>
      </c>
      <c r="AG17" s="9">
        <f t="shared" si="21"/>
        <v>-3.1273086313427103</v>
      </c>
      <c r="AH17" s="9">
        <f t="shared" si="22"/>
        <v>-0.13708750164789962</v>
      </c>
      <c r="AI17" s="9">
        <f t="shared" si="23"/>
        <v>-3.541213728288143E-2</v>
      </c>
      <c r="AJ17" s="9">
        <f t="shared" si="24"/>
        <v>6.7608659905015571</v>
      </c>
      <c r="AK17" s="9"/>
      <c r="AL17" s="9"/>
      <c r="AM17" t="s">
        <v>303</v>
      </c>
      <c r="AN17" s="1" t="s">
        <v>23</v>
      </c>
      <c r="AO17" s="2">
        <f t="shared" si="25"/>
        <v>1.0319917440660475</v>
      </c>
      <c r="AP17">
        <v>10</v>
      </c>
      <c r="AQ17">
        <v>6</v>
      </c>
      <c r="AR17">
        <v>1</v>
      </c>
      <c r="AS17">
        <v>3</v>
      </c>
      <c r="AW17">
        <f t="shared" si="26"/>
        <v>1.0245901639344262E-2</v>
      </c>
      <c r="AX17">
        <f t="shared" si="27"/>
        <v>1.0497850040311743E-4</v>
      </c>
      <c r="AY17">
        <f t="shared" si="28"/>
        <v>-4.580877493419047</v>
      </c>
      <c r="AZ17">
        <f t="shared" si="29"/>
        <v>-4.6935220219457445E-2</v>
      </c>
      <c r="BA17">
        <f t="shared" si="30"/>
        <v>-1.141733406818991E-2</v>
      </c>
      <c r="BB17">
        <f t="shared" si="31"/>
        <v>8.7217468765167201</v>
      </c>
      <c r="BE17" t="s">
        <v>303</v>
      </c>
      <c r="BF17" s="1" t="s">
        <v>40</v>
      </c>
      <c r="BG17">
        <v>1</v>
      </c>
      <c r="BH17">
        <f>BG17/BG65*100</f>
        <v>0.12106537530266344</v>
      </c>
      <c r="BI17">
        <v>1</v>
      </c>
      <c r="BN17">
        <f t="shared" si="6"/>
        <v>1.2048192771084338E-3</v>
      </c>
      <c r="BO17">
        <f t="shared" si="7"/>
        <v>1.4515894904920891E-6</v>
      </c>
      <c r="BP17">
        <f t="shared" si="8"/>
        <v>-6.7214257007906433</v>
      </c>
      <c r="BQ17">
        <f t="shared" si="9"/>
        <v>-8.0981032539646312E-3</v>
      </c>
      <c r="BR17">
        <f t="shared" si="10"/>
        <v>-1.9699225813130474E-3</v>
      </c>
      <c r="BS17">
        <f t="shared" si="11"/>
        <v>8.9298827999525709</v>
      </c>
      <c r="BV17" t="s">
        <v>303</v>
      </c>
      <c r="BW17" s="1" t="s">
        <v>274</v>
      </c>
      <c r="BX17">
        <v>1281</v>
      </c>
      <c r="BY17">
        <v>1270</v>
      </c>
      <c r="BZ17">
        <v>1154</v>
      </c>
      <c r="CA17">
        <f t="shared" si="32"/>
        <v>3705</v>
      </c>
      <c r="CB17">
        <f>CA17/CA49*100</f>
        <v>40.700867845765131</v>
      </c>
      <c r="CC17">
        <f t="shared" si="33"/>
        <v>0.41139240506329117</v>
      </c>
      <c r="CD17">
        <f t="shared" si="34"/>
        <v>0.16924371094375903</v>
      </c>
      <c r="CE17">
        <f t="shared" si="35"/>
        <v>-0.88820776313132965</v>
      </c>
      <c r="CF17">
        <f t="shared" si="36"/>
        <v>-0.36540192787048376</v>
      </c>
      <c r="CG17">
        <f t="shared" si="37"/>
        <v>-9.5990103890857631E-2</v>
      </c>
      <c r="CH17">
        <f t="shared" si="38"/>
        <v>4.8264299747314352</v>
      </c>
      <c r="CK17" t="s">
        <v>303</v>
      </c>
      <c r="CL17" s="1" t="s">
        <v>30</v>
      </c>
      <c r="CM17">
        <v>1</v>
      </c>
      <c r="CP17">
        <f t="shared" si="39"/>
        <v>1</v>
      </c>
      <c r="CQ17" s="36">
        <f t="shared" si="40"/>
        <v>8.9605734767025089E-2</v>
      </c>
      <c r="CR17">
        <f t="shared" si="41"/>
        <v>8.9206066012488853E-4</v>
      </c>
      <c r="CS17">
        <f t="shared" si="42"/>
        <v>7.9577222134245192E-7</v>
      </c>
      <c r="CT17">
        <f t="shared" si="43"/>
        <v>-7.02197642307216</v>
      </c>
      <c r="CU17">
        <f t="shared" si="44"/>
        <v>-6.2640289233471544E-3</v>
      </c>
      <c r="CV17">
        <f t="shared" si="45"/>
        <v>-1.6654335665923674E-3</v>
      </c>
      <c r="CW17">
        <f t="shared" si="46"/>
        <v>5.9850321673386508</v>
      </c>
      <c r="CZ17" t="s">
        <v>303</v>
      </c>
      <c r="DA17" s="1" t="s">
        <v>28</v>
      </c>
      <c r="DB17">
        <v>1</v>
      </c>
      <c r="DD17">
        <v>13</v>
      </c>
      <c r="DE17">
        <f t="shared" si="47"/>
        <v>14</v>
      </c>
      <c r="DF17" s="36">
        <f t="shared" si="48"/>
        <v>1.8867924528301887</v>
      </c>
      <c r="DG17">
        <f t="shared" si="49"/>
        <v>1.8817204301075269E-2</v>
      </c>
      <c r="DH17">
        <f t="shared" si="50"/>
        <v>3.5408717770840561E-4</v>
      </c>
      <c r="DI17">
        <f t="shared" si="51"/>
        <v>-3.9729837052178332</v>
      </c>
      <c r="DJ17">
        <f t="shared" si="52"/>
        <v>-7.4760446065926967E-2</v>
      </c>
      <c r="DK17">
        <f t="shared" si="53"/>
        <v>-1.8491095243016422E-2</v>
      </c>
      <c r="DL17">
        <f t="shared" si="54"/>
        <v>8.4693969237312228</v>
      </c>
      <c r="DN17" t="s">
        <v>303</v>
      </c>
      <c r="DO17" s="1" t="s">
        <v>555</v>
      </c>
      <c r="DP17">
        <v>6</v>
      </c>
      <c r="DQ17">
        <f t="shared" si="55"/>
        <v>1.5503875968992249</v>
      </c>
      <c r="DR17">
        <f t="shared" si="56"/>
        <v>1.5503875968992248E-2</v>
      </c>
      <c r="DS17">
        <f t="shared" si="57"/>
        <v>2.4037017006189532E-4</v>
      </c>
      <c r="DT17">
        <f t="shared" si="58"/>
        <v>-4.1666652238017265</v>
      </c>
      <c r="DU17">
        <f t="shared" si="59"/>
        <v>-6.45994608341353E-2</v>
      </c>
      <c r="DV17">
        <f t="shared" si="60"/>
        <v>-1.7890038598753419E-2</v>
      </c>
      <c r="DW17">
        <f t="shared" si="61"/>
        <v>6.0418654014563815</v>
      </c>
      <c r="DY17" t="s">
        <v>303</v>
      </c>
      <c r="DZ17" s="1" t="s">
        <v>10</v>
      </c>
      <c r="EA17">
        <v>1</v>
      </c>
      <c r="EB17">
        <v>2</v>
      </c>
      <c r="EC17">
        <v>1</v>
      </c>
      <c r="ED17">
        <f t="shared" si="62"/>
        <v>4</v>
      </c>
      <c r="EE17">
        <f t="shared" si="63"/>
        <v>0.33528918692372173</v>
      </c>
      <c r="EF17">
        <f t="shared" si="64"/>
        <v>3.3528918692372171E-3</v>
      </c>
      <c r="EG17">
        <f t="shared" si="65"/>
        <v>1.1241883886797039E-5</v>
      </c>
      <c r="EH17">
        <f t="shared" si="66"/>
        <v>-5.6979320609780251</v>
      </c>
      <c r="EI17">
        <f t="shared" si="67"/>
        <v>-1.9104550078719279E-2</v>
      </c>
      <c r="EJ17">
        <f t="shared" si="68"/>
        <v>-4.9350447121935407E-3</v>
      </c>
      <c r="EK17">
        <f t="shared" si="69"/>
        <v>6.6344576245322022</v>
      </c>
      <c r="EM17" t="s">
        <v>303</v>
      </c>
      <c r="EN17" s="1" t="s">
        <v>28</v>
      </c>
      <c r="EO17">
        <v>9</v>
      </c>
      <c r="EP17">
        <v>17</v>
      </c>
      <c r="EQ17">
        <v>1</v>
      </c>
      <c r="ER17">
        <v>1</v>
      </c>
      <c r="ES17">
        <f t="shared" si="70"/>
        <v>28</v>
      </c>
      <c r="ET17">
        <f t="shared" si="71"/>
        <v>0.3506135737540696</v>
      </c>
      <c r="EU17">
        <f t="shared" si="72"/>
        <v>3.5061357375406961E-3</v>
      </c>
      <c r="EV17">
        <f t="shared" si="73"/>
        <v>1.2292987810060041E-5</v>
      </c>
      <c r="EW17">
        <f t="shared" si="74"/>
        <v>-5.6532407774479632</v>
      </c>
      <c r="EX17">
        <f t="shared" si="75"/>
        <v>-1.9821029522732653E-2</v>
      </c>
      <c r="EY17">
        <f t="shared" si="76"/>
        <v>-5.0929971078971003E-3</v>
      </c>
      <c r="EZ17">
        <f t="shared" si="77"/>
        <v>5.3419723189586055</v>
      </c>
      <c r="FB17" t="s">
        <v>303</v>
      </c>
      <c r="FC17" s="1" t="s">
        <v>28</v>
      </c>
      <c r="FD17">
        <v>13</v>
      </c>
      <c r="FE17">
        <v>12</v>
      </c>
      <c r="FF17">
        <v>2</v>
      </c>
      <c r="FG17">
        <v>4</v>
      </c>
      <c r="FH17">
        <f t="shared" si="78"/>
        <v>31</v>
      </c>
      <c r="FI17">
        <f t="shared" si="79"/>
        <v>0.5487696937511064</v>
      </c>
      <c r="FJ17">
        <f t="shared" si="80"/>
        <v>5.4876969375110638E-3</v>
      </c>
      <c r="FK17">
        <f t="shared" si="81"/>
        <v>3.011481767796831E-5</v>
      </c>
      <c r="FL17">
        <f t="shared" si="82"/>
        <v>-5.2052466128401162</v>
      </c>
      <c r="FM17">
        <f t="shared" si="83"/>
        <v>-2.8564815896272543E-2</v>
      </c>
      <c r="FN17">
        <f t="shared" si="84"/>
        <v>-7.3018016143149714E-3</v>
      </c>
    </row>
    <row r="18" spans="1:170" x14ac:dyDescent="0.25">
      <c r="A18" t="s">
        <v>303</v>
      </c>
      <c r="B18" s="1" t="s">
        <v>415</v>
      </c>
      <c r="C18">
        <v>42</v>
      </c>
      <c r="D18">
        <f>(C18/C32)*100</f>
        <v>5.25</v>
      </c>
      <c r="E18">
        <f t="shared" si="0"/>
        <v>5.2499999999999998E-2</v>
      </c>
      <c r="F18">
        <f t="shared" si="1"/>
        <v>2.7562499999999996E-3</v>
      </c>
      <c r="G18">
        <f t="shared" si="2"/>
        <v>-2.9469421093845591</v>
      </c>
      <c r="H18">
        <f t="shared" si="3"/>
        <v>-0.15471446074268935</v>
      </c>
      <c r="I18">
        <f t="shared" si="4"/>
        <v>-4.6942390364804583E-2</v>
      </c>
      <c r="J18">
        <f t="shared" si="5"/>
        <v>3.8895303211680581</v>
      </c>
      <c r="L18" t="s">
        <v>303</v>
      </c>
      <c r="M18" t="s">
        <v>78</v>
      </c>
      <c r="N18">
        <v>9</v>
      </c>
      <c r="O18">
        <f>N18/N46*100</f>
        <v>0.95238095238095244</v>
      </c>
      <c r="P18">
        <f t="shared" si="12"/>
        <v>9.5238095238095247E-3</v>
      </c>
      <c r="Q18">
        <f t="shared" si="13"/>
        <v>9.0702947845805004E-5</v>
      </c>
      <c r="R18">
        <f t="shared" si="14"/>
        <v>-4.6539603501575231</v>
      </c>
      <c r="S18">
        <f t="shared" si="15"/>
        <v>-4.4323431906262131E-2</v>
      </c>
      <c r="T18">
        <f t="shared" si="16"/>
        <v>-1.1935524909739518E-2</v>
      </c>
      <c r="U18">
        <f t="shared" si="17"/>
        <v>5.838406118550437</v>
      </c>
      <c r="W18" t="s">
        <v>303</v>
      </c>
      <c r="X18" s="11" t="s">
        <v>139</v>
      </c>
      <c r="Y18">
        <v>1</v>
      </c>
      <c r="Z18">
        <v>1</v>
      </c>
      <c r="AA18">
        <v>5</v>
      </c>
      <c r="AC18" s="9">
        <f t="shared" ref="AC18:AC25" si="86">SUM(Y18:AA18)</f>
        <v>7</v>
      </c>
      <c r="AD18" s="9">
        <f t="shared" si="18"/>
        <v>0.63926940639269414</v>
      </c>
      <c r="AE18" s="9">
        <f t="shared" si="19"/>
        <v>6.392694063926941E-3</v>
      </c>
      <c r="AF18" s="9">
        <f t="shared" si="20"/>
        <v>4.0866537394966747E-5</v>
      </c>
      <c r="AG18" s="9">
        <f t="shared" si="21"/>
        <v>-5.052599493195288</v>
      </c>
      <c r="AH18" s="9">
        <f t="shared" si="22"/>
        <v>-3.2299722787549785E-2</v>
      </c>
      <c r="AI18" s="9">
        <f t="shared" si="23"/>
        <v>-8.3435922589756486E-3</v>
      </c>
      <c r="AJ18" s="9">
        <f t="shared" si="24"/>
        <v>6.7608659905015571</v>
      </c>
      <c r="AK18" s="9"/>
      <c r="AL18" s="9"/>
      <c r="AM18" t="s">
        <v>303</v>
      </c>
      <c r="AN18" s="1" t="s">
        <v>147</v>
      </c>
      <c r="AO18" s="2">
        <f t="shared" si="25"/>
        <v>2.8895768833849327</v>
      </c>
      <c r="AP18">
        <v>28</v>
      </c>
      <c r="AQ18">
        <v>14</v>
      </c>
      <c r="AR18">
        <v>4</v>
      </c>
      <c r="AS18">
        <v>10</v>
      </c>
      <c r="AW18">
        <f t="shared" si="26"/>
        <v>2.8688524590163935E-2</v>
      </c>
      <c r="AX18">
        <f t="shared" si="27"/>
        <v>8.2303144316044075E-4</v>
      </c>
      <c r="AY18">
        <f t="shared" si="28"/>
        <v>-3.5512580762378887</v>
      </c>
      <c r="AZ18">
        <f t="shared" si="29"/>
        <v>-0.10188035464616894</v>
      </c>
      <c r="BA18">
        <f t="shared" si="30"/>
        <v>-2.4783138089948885E-2</v>
      </c>
      <c r="BB18">
        <f t="shared" si="31"/>
        <v>8.7217468765167201</v>
      </c>
      <c r="BE18" t="s">
        <v>315</v>
      </c>
      <c r="BF18" s="1" t="s">
        <v>24</v>
      </c>
      <c r="BG18">
        <v>11</v>
      </c>
      <c r="BH18">
        <f>BG18/BG65*100</f>
        <v>1.331719128329298</v>
      </c>
      <c r="BI18">
        <v>1</v>
      </c>
      <c r="BJ18">
        <v>10</v>
      </c>
      <c r="BN18">
        <f t="shared" si="6"/>
        <v>1.3253012048192771E-2</v>
      </c>
      <c r="BO18">
        <f t="shared" si="7"/>
        <v>1.7564232834954273E-4</v>
      </c>
      <c r="BP18">
        <f t="shared" si="8"/>
        <v>-4.3235304279922735</v>
      </c>
      <c r="BQ18">
        <f t="shared" si="9"/>
        <v>-5.7299800852909651E-2</v>
      </c>
      <c r="BR18">
        <f t="shared" si="10"/>
        <v>-1.3938593774983785E-2</v>
      </c>
      <c r="BS18">
        <f t="shared" si="11"/>
        <v>8.9298827999525709</v>
      </c>
      <c r="BV18" t="s">
        <v>321</v>
      </c>
      <c r="BW18" s="1" t="s">
        <v>27</v>
      </c>
      <c r="BX18">
        <v>1</v>
      </c>
      <c r="CA18">
        <f t="shared" si="32"/>
        <v>1</v>
      </c>
      <c r="CB18">
        <f>CA18/CA49*100</f>
        <v>1.0985389432055367E-2</v>
      </c>
      <c r="CC18">
        <f t="shared" si="33"/>
        <v>1.1103708638685321E-4</v>
      </c>
      <c r="CD18">
        <f t="shared" si="34"/>
        <v>1.2329234553281503E-8</v>
      </c>
      <c r="CE18">
        <f t="shared" si="35"/>
        <v>-9.1056463008615172</v>
      </c>
      <c r="CF18">
        <f t="shared" si="36"/>
        <v>-1.0110644349168906E-3</v>
      </c>
      <c r="CG18">
        <f t="shared" si="37"/>
        <v>-2.6560390831441814E-4</v>
      </c>
      <c r="CH18">
        <f t="shared" si="38"/>
        <v>4.8264299747314352</v>
      </c>
      <c r="CK18" t="s">
        <v>303</v>
      </c>
      <c r="CL18" s="1" t="s">
        <v>28</v>
      </c>
      <c r="CO18">
        <v>1</v>
      </c>
      <c r="CP18">
        <f t="shared" si="39"/>
        <v>1</v>
      </c>
      <c r="CQ18" s="36">
        <f t="shared" si="40"/>
        <v>8.9605734767025089E-2</v>
      </c>
      <c r="CR18">
        <f t="shared" si="41"/>
        <v>8.9206066012488853E-4</v>
      </c>
      <c r="CS18">
        <f t="shared" si="42"/>
        <v>7.9577222134245192E-7</v>
      </c>
      <c r="CT18">
        <f t="shared" si="43"/>
        <v>-7.02197642307216</v>
      </c>
      <c r="CU18">
        <f t="shared" si="44"/>
        <v>-6.2640289233471544E-3</v>
      </c>
      <c r="CV18">
        <f t="shared" si="45"/>
        <v>-1.6654335665923674E-3</v>
      </c>
      <c r="CW18">
        <f t="shared" si="46"/>
        <v>5.9850321673386508</v>
      </c>
      <c r="CZ18" t="s">
        <v>303</v>
      </c>
      <c r="DA18" s="1" t="s">
        <v>10</v>
      </c>
      <c r="DB18">
        <v>3</v>
      </c>
      <c r="DD18">
        <v>2</v>
      </c>
      <c r="DE18">
        <f t="shared" si="47"/>
        <v>5</v>
      </c>
      <c r="DF18" s="36">
        <f t="shared" si="48"/>
        <v>0.67385444743935319</v>
      </c>
      <c r="DG18">
        <f t="shared" si="49"/>
        <v>6.7204301075268818E-3</v>
      </c>
      <c r="DH18">
        <f t="shared" si="50"/>
        <v>4.5164180830153778E-5</v>
      </c>
      <c r="DI18">
        <f t="shared" si="51"/>
        <v>-5.0026031223989911</v>
      </c>
      <c r="DJ18">
        <f t="shared" si="52"/>
        <v>-3.3619644639778165E-2</v>
      </c>
      <c r="DK18">
        <f t="shared" si="53"/>
        <v>-8.3154138823930308E-3</v>
      </c>
      <c r="DL18">
        <f t="shared" si="54"/>
        <v>8.4693969237312228</v>
      </c>
      <c r="DN18" t="s">
        <v>315</v>
      </c>
      <c r="DO18" s="1" t="s">
        <v>38</v>
      </c>
      <c r="DP18">
        <v>9</v>
      </c>
      <c r="DQ18" s="15">
        <f t="shared" si="55"/>
        <v>2.3255813953488373</v>
      </c>
      <c r="DR18">
        <f t="shared" si="56"/>
        <v>2.3255813953488372E-2</v>
      </c>
      <c r="DS18">
        <f t="shared" si="57"/>
        <v>5.408328826392644E-4</v>
      </c>
      <c r="DT18">
        <f t="shared" si="58"/>
        <v>-3.7612001156935624</v>
      </c>
      <c r="DU18">
        <f t="shared" si="59"/>
        <v>-8.746977013240842E-2</v>
      </c>
      <c r="DV18">
        <f t="shared" si="60"/>
        <v>-2.4223693877426181E-2</v>
      </c>
      <c r="DW18">
        <f t="shared" si="61"/>
        <v>6.0418654014563815</v>
      </c>
      <c r="DY18" t="s">
        <v>315</v>
      </c>
      <c r="DZ18" s="1" t="s">
        <v>38</v>
      </c>
      <c r="EA18">
        <v>2</v>
      </c>
      <c r="EB18">
        <v>1</v>
      </c>
      <c r="ED18">
        <f t="shared" si="62"/>
        <v>3</v>
      </c>
      <c r="EE18" s="15">
        <f t="shared" si="63"/>
        <v>0.25146689019279128</v>
      </c>
      <c r="EF18">
        <f t="shared" si="64"/>
        <v>2.5146689019279128E-3</v>
      </c>
      <c r="EG18">
        <f t="shared" si="65"/>
        <v>6.3235596863233349E-6</v>
      </c>
      <c r="EH18">
        <f t="shared" si="66"/>
        <v>-5.9856141334298067</v>
      </c>
      <c r="EI18">
        <f t="shared" si="67"/>
        <v>-1.5051837720276127E-2</v>
      </c>
      <c r="EJ18">
        <f t="shared" si="68"/>
        <v>-3.8881571062480435E-3</v>
      </c>
      <c r="EK18">
        <f t="shared" si="69"/>
        <v>6.6344576245322022</v>
      </c>
      <c r="EM18" t="s">
        <v>303</v>
      </c>
      <c r="EN18" s="1" t="s">
        <v>10</v>
      </c>
      <c r="EO18">
        <v>7</v>
      </c>
      <c r="EP18">
        <v>10</v>
      </c>
      <c r="EQ18">
        <v>1</v>
      </c>
      <c r="ER18">
        <v>2</v>
      </c>
      <c r="ES18">
        <f t="shared" si="70"/>
        <v>20</v>
      </c>
      <c r="ET18">
        <f t="shared" si="71"/>
        <v>0.25043826696719257</v>
      </c>
      <c r="EU18">
        <f t="shared" si="72"/>
        <v>2.5043826696719259E-3</v>
      </c>
      <c r="EV18">
        <f t="shared" si="73"/>
        <v>6.2719325561530825E-6</v>
      </c>
      <c r="EW18">
        <f t="shared" si="74"/>
        <v>-5.9897130140691752</v>
      </c>
      <c r="EX18">
        <f t="shared" si="75"/>
        <v>-1.5000533468743239E-2</v>
      </c>
      <c r="EY18">
        <f t="shared" si="76"/>
        <v>-3.8543746421245586E-3</v>
      </c>
      <c r="EZ18">
        <f t="shared" si="77"/>
        <v>5.3419723189586055</v>
      </c>
      <c r="FB18" t="s">
        <v>303</v>
      </c>
      <c r="FC18" s="1" t="s">
        <v>517</v>
      </c>
      <c r="FD18">
        <v>4</v>
      </c>
      <c r="FE18">
        <v>6</v>
      </c>
      <c r="FH18">
        <f t="shared" si="78"/>
        <v>10</v>
      </c>
      <c r="FI18">
        <f t="shared" si="79"/>
        <v>0.17702248185519562</v>
      </c>
      <c r="FJ18">
        <f t="shared" si="80"/>
        <v>1.7702248185519562E-3</v>
      </c>
      <c r="FK18">
        <f t="shared" si="81"/>
        <v>3.133695908217306E-6</v>
      </c>
      <c r="FL18">
        <f t="shared" si="82"/>
        <v>-6.3366487243312166</v>
      </c>
      <c r="FM18">
        <f t="shared" si="83"/>
        <v>-1.1217292838256713E-2</v>
      </c>
      <c r="FN18">
        <f t="shared" si="84"/>
        <v>-2.8673892823973951E-3</v>
      </c>
    </row>
    <row r="19" spans="1:170" x14ac:dyDescent="0.25">
      <c r="A19" t="s">
        <v>319</v>
      </c>
      <c r="B19" s="1" t="s">
        <v>121</v>
      </c>
      <c r="C19">
        <v>17</v>
      </c>
      <c r="D19">
        <f>(C19/C32)*100</f>
        <v>2.125</v>
      </c>
      <c r="E19">
        <f t="shared" si="0"/>
        <v>2.1250000000000002E-2</v>
      </c>
      <c r="F19">
        <f t="shared" si="1"/>
        <v>4.5156250000000009E-4</v>
      </c>
      <c r="G19">
        <f t="shared" si="2"/>
        <v>-3.8513983836117109</v>
      </c>
      <c r="H19">
        <f t="shared" si="3"/>
        <v>-8.1842215651748859E-2</v>
      </c>
      <c r="I19">
        <f t="shared" si="4"/>
        <v>-2.4831998360091576E-2</v>
      </c>
      <c r="J19">
        <f t="shared" si="5"/>
        <v>3.8895303211680581</v>
      </c>
      <c r="L19" t="s">
        <v>305</v>
      </c>
      <c r="M19" t="s">
        <v>351</v>
      </c>
      <c r="N19">
        <v>3</v>
      </c>
      <c r="O19">
        <f>N19/N46*100</f>
        <v>0.31746031746031744</v>
      </c>
      <c r="P19">
        <f t="shared" si="12"/>
        <v>3.1746031746031746E-3</v>
      </c>
      <c r="Q19">
        <f t="shared" si="13"/>
        <v>1.0078105316200555E-5</v>
      </c>
      <c r="R19">
        <f t="shared" si="14"/>
        <v>-5.7525726388256331</v>
      </c>
      <c r="S19">
        <f t="shared" si="15"/>
        <v>-1.8262135361351215E-2</v>
      </c>
      <c r="T19">
        <f t="shared" si="16"/>
        <v>-4.9176736127160585E-3</v>
      </c>
      <c r="U19">
        <f t="shared" si="17"/>
        <v>5.838406118550437</v>
      </c>
      <c r="W19" t="s">
        <v>303</v>
      </c>
      <c r="X19" s="10" t="s">
        <v>360</v>
      </c>
      <c r="Y19">
        <v>4</v>
      </c>
      <c r="Z19">
        <v>1</v>
      </c>
      <c r="AA19">
        <v>24</v>
      </c>
      <c r="AC19" s="9">
        <f t="shared" si="86"/>
        <v>29</v>
      </c>
      <c r="AD19" s="9">
        <f t="shared" si="18"/>
        <v>2.6484018264840183</v>
      </c>
      <c r="AE19" s="9">
        <f t="shared" si="19"/>
        <v>2.6484018264840183E-2</v>
      </c>
      <c r="AF19" s="9">
        <f t="shared" si="20"/>
        <v>7.0140322345238839E-4</v>
      </c>
      <c r="AG19" s="9">
        <f t="shared" si="21"/>
        <v>-3.6312138122641273</v>
      </c>
      <c r="AH19" s="9">
        <f t="shared" si="22"/>
        <v>-9.6169132927543102E-2</v>
      </c>
      <c r="AI19" s="9">
        <f t="shared" si="23"/>
        <v>-2.4842195653640081E-2</v>
      </c>
      <c r="AJ19" s="9">
        <f t="shared" si="24"/>
        <v>6.7608659905015571</v>
      </c>
      <c r="AK19" s="9"/>
      <c r="AL19" s="9"/>
      <c r="AM19" t="s">
        <v>303</v>
      </c>
      <c r="AN19" s="1" t="s">
        <v>414</v>
      </c>
      <c r="AO19" s="2">
        <f t="shared" si="25"/>
        <v>2.3735810113519094</v>
      </c>
      <c r="AP19">
        <v>23</v>
      </c>
      <c r="AQ19">
        <v>3</v>
      </c>
      <c r="AR19">
        <v>3</v>
      </c>
      <c r="AS19">
        <v>12</v>
      </c>
      <c r="AT19">
        <v>5</v>
      </c>
      <c r="AW19">
        <f t="shared" si="26"/>
        <v>2.3565573770491802E-2</v>
      </c>
      <c r="AX19">
        <f t="shared" si="27"/>
        <v>5.5533626713249117E-4</v>
      </c>
      <c r="AY19">
        <f t="shared" si="28"/>
        <v>-3.7479683704839428</v>
      </c>
      <c r="AZ19">
        <f t="shared" si="29"/>
        <v>-8.8323025124109306E-2</v>
      </c>
      <c r="BA19">
        <f t="shared" si="30"/>
        <v>-2.1485218968612382E-2</v>
      </c>
      <c r="BB19">
        <f t="shared" si="31"/>
        <v>8.7217468765167201</v>
      </c>
      <c r="BE19" t="s">
        <v>303</v>
      </c>
      <c r="BF19" s="1" t="s">
        <v>25</v>
      </c>
      <c r="BG19">
        <v>6</v>
      </c>
      <c r="BH19">
        <f>BG19/BG65*100</f>
        <v>0.72639225181598066</v>
      </c>
      <c r="BI19">
        <v>2</v>
      </c>
      <c r="BJ19">
        <v>2</v>
      </c>
      <c r="BK19">
        <v>2</v>
      </c>
      <c r="BN19">
        <f t="shared" si="6"/>
        <v>7.2289156626506026E-3</v>
      </c>
      <c r="BO19">
        <f t="shared" si="7"/>
        <v>5.2257221657715204E-5</v>
      </c>
      <c r="BP19">
        <f t="shared" si="8"/>
        <v>-4.9296662315625888</v>
      </c>
      <c r="BQ19">
        <f t="shared" si="9"/>
        <v>-3.563614143298257E-2</v>
      </c>
      <c r="BR19">
        <f t="shared" si="10"/>
        <v>-8.6687508813041454E-3</v>
      </c>
      <c r="BS19">
        <f t="shared" si="11"/>
        <v>8.9298827999525709</v>
      </c>
      <c r="BV19" t="s">
        <v>321</v>
      </c>
      <c r="BW19" s="1" t="s">
        <v>138</v>
      </c>
      <c r="BX19">
        <v>3</v>
      </c>
      <c r="BY19">
        <v>1</v>
      </c>
      <c r="CA19">
        <f t="shared" si="32"/>
        <v>4</v>
      </c>
      <c r="CB19">
        <f>CA19/CA49*100</f>
        <v>4.3941557728221468E-2</v>
      </c>
      <c r="CC19">
        <f t="shared" si="33"/>
        <v>4.4414834554741284E-4</v>
      </c>
      <c r="CD19">
        <f t="shared" si="34"/>
        <v>1.9726775285250406E-7</v>
      </c>
      <c r="CE19">
        <f t="shared" si="35"/>
        <v>-7.7193519397416264</v>
      </c>
      <c r="CF19">
        <f t="shared" si="36"/>
        <v>-3.4285373927344554E-3</v>
      </c>
      <c r="CG19">
        <f t="shared" si="37"/>
        <v>-9.0066755378182244E-4</v>
      </c>
      <c r="CH19">
        <f t="shared" si="38"/>
        <v>4.8264299747314352</v>
      </c>
      <c r="CK19" t="s">
        <v>315</v>
      </c>
      <c r="CL19" s="18" t="s">
        <v>38</v>
      </c>
      <c r="CM19">
        <v>19</v>
      </c>
      <c r="CN19">
        <v>1</v>
      </c>
      <c r="CO19">
        <v>1</v>
      </c>
      <c r="CP19">
        <f t="shared" si="39"/>
        <v>21</v>
      </c>
      <c r="CQ19" s="15">
        <f t="shared" si="40"/>
        <v>1.881720430107527</v>
      </c>
      <c r="CR19">
        <f t="shared" si="41"/>
        <v>1.8733273862622659E-2</v>
      </c>
      <c r="CS19">
        <f t="shared" si="42"/>
        <v>3.5093554961202129E-4</v>
      </c>
      <c r="CT19">
        <f t="shared" si="43"/>
        <v>-3.977453985348737</v>
      </c>
      <c r="CU19">
        <f t="shared" si="44"/>
        <v>-7.4510734783517829E-2</v>
      </c>
      <c r="CV19">
        <f t="shared" si="45"/>
        <v>-1.9810361717427019E-2</v>
      </c>
      <c r="CW19">
        <f t="shared" si="46"/>
        <v>5.9850321673386508</v>
      </c>
      <c r="CZ19" t="s">
        <v>315</v>
      </c>
      <c r="DA19" s="1" t="s">
        <v>38</v>
      </c>
      <c r="DB19">
        <v>7</v>
      </c>
      <c r="DC19">
        <v>3</v>
      </c>
      <c r="DE19">
        <f t="shared" si="47"/>
        <v>10</v>
      </c>
      <c r="DF19" s="15">
        <f t="shared" si="48"/>
        <v>1.3477088948787064</v>
      </c>
      <c r="DG19">
        <f t="shared" si="49"/>
        <v>1.3440860215053764E-2</v>
      </c>
      <c r="DH19">
        <f t="shared" si="50"/>
        <v>1.8065672332061511E-4</v>
      </c>
      <c r="DI19">
        <f t="shared" si="51"/>
        <v>-4.3094559418390466</v>
      </c>
      <c r="DJ19">
        <f t="shared" si="52"/>
        <v>-5.7922794917191489E-2</v>
      </c>
      <c r="DK19">
        <f t="shared" si="53"/>
        <v>-1.4326505176427015E-2</v>
      </c>
      <c r="DL19">
        <f t="shared" si="54"/>
        <v>8.4693969237312228</v>
      </c>
      <c r="DN19" t="s">
        <v>315</v>
      </c>
      <c r="DO19" s="1" t="s">
        <v>477</v>
      </c>
      <c r="DP19">
        <v>26</v>
      </c>
      <c r="DQ19">
        <f t="shared" si="55"/>
        <v>6.7183462532299743</v>
      </c>
      <c r="DR19">
        <f t="shared" si="56"/>
        <v>6.7183462532299745E-2</v>
      </c>
      <c r="DS19">
        <f t="shared" si="57"/>
        <v>4.5136176378289235E-3</v>
      </c>
      <c r="DT19">
        <f t="shared" si="58"/>
        <v>-2.7003281550082998</v>
      </c>
      <c r="DU19">
        <f t="shared" si="59"/>
        <v>-0.18141739542691421</v>
      </c>
      <c r="DV19">
        <f t="shared" si="60"/>
        <v>-5.0241351317251298E-2</v>
      </c>
      <c r="DW19">
        <f t="shared" si="61"/>
        <v>6.0418654014563815</v>
      </c>
      <c r="DY19" t="s">
        <v>315</v>
      </c>
      <c r="DZ19" s="1" t="s">
        <v>137</v>
      </c>
      <c r="EA19">
        <v>2</v>
      </c>
      <c r="EB19">
        <v>1</v>
      </c>
      <c r="ED19">
        <f t="shared" si="62"/>
        <v>3</v>
      </c>
      <c r="EE19">
        <f t="shared" si="63"/>
        <v>0.25146689019279128</v>
      </c>
      <c r="EF19">
        <f t="shared" si="64"/>
        <v>2.5146689019279128E-3</v>
      </c>
      <c r="EG19">
        <f t="shared" si="65"/>
        <v>6.3235596863233349E-6</v>
      </c>
      <c r="EH19">
        <f t="shared" si="66"/>
        <v>-5.9856141334298067</v>
      </c>
      <c r="EI19">
        <f t="shared" si="67"/>
        <v>-1.5051837720276127E-2</v>
      </c>
      <c r="EJ19">
        <f t="shared" si="68"/>
        <v>-3.8881571062480435E-3</v>
      </c>
      <c r="EK19">
        <f t="shared" si="69"/>
        <v>6.6344576245322022</v>
      </c>
      <c r="EM19" t="s">
        <v>315</v>
      </c>
      <c r="EN19" s="1" t="s">
        <v>38</v>
      </c>
      <c r="EO19">
        <v>4</v>
      </c>
      <c r="EP19">
        <v>2</v>
      </c>
      <c r="ES19">
        <f t="shared" si="70"/>
        <v>6</v>
      </c>
      <c r="ET19" s="15">
        <f t="shared" si="71"/>
        <v>7.5131480090157785E-2</v>
      </c>
      <c r="EU19">
        <f t="shared" si="72"/>
        <v>7.513148009015778E-4</v>
      </c>
      <c r="EV19">
        <f t="shared" si="73"/>
        <v>5.6447393005377753E-7</v>
      </c>
      <c r="EW19">
        <f t="shared" si="74"/>
        <v>-7.193685818395112</v>
      </c>
      <c r="EX19">
        <f t="shared" si="75"/>
        <v>-5.4047226283960277E-3</v>
      </c>
      <c r="EY19">
        <f t="shared" si="76"/>
        <v>-1.3887389998505004E-3</v>
      </c>
      <c r="EZ19">
        <f t="shared" si="77"/>
        <v>5.3419723189586055</v>
      </c>
      <c r="FB19" t="s">
        <v>315</v>
      </c>
      <c r="FC19" s="1" t="s">
        <v>38</v>
      </c>
      <c r="FD19">
        <v>1</v>
      </c>
      <c r="FH19">
        <f t="shared" si="78"/>
        <v>1</v>
      </c>
      <c r="FI19" s="15">
        <f t="shared" si="79"/>
        <v>1.7702248185519558E-2</v>
      </c>
      <c r="FJ19">
        <f t="shared" si="80"/>
        <v>1.770224818551956E-4</v>
      </c>
      <c r="FK19">
        <f t="shared" si="81"/>
        <v>3.1336959082173057E-8</v>
      </c>
      <c r="FL19">
        <f t="shared" si="82"/>
        <v>-8.6392338173252625</v>
      </c>
      <c r="FM19">
        <f t="shared" si="83"/>
        <v>-1.5293386116702534E-3</v>
      </c>
      <c r="FN19">
        <f t="shared" si="84"/>
        <v>-3.9093292895982777E-4</v>
      </c>
    </row>
    <row r="20" spans="1:170" x14ac:dyDescent="0.25">
      <c r="A20" t="s">
        <v>303</v>
      </c>
      <c r="B20" t="s">
        <v>408</v>
      </c>
      <c r="C20">
        <v>6</v>
      </c>
      <c r="D20">
        <f>(C20/C32)*100</f>
        <v>0.75</v>
      </c>
      <c r="E20">
        <f t="shared" si="0"/>
        <v>7.4999999999999997E-3</v>
      </c>
      <c r="F20">
        <f t="shared" si="1"/>
        <v>5.6249999999999998E-5</v>
      </c>
      <c r="G20">
        <f t="shared" si="2"/>
        <v>-4.8928522584398726</v>
      </c>
      <c r="H20">
        <f t="shared" si="3"/>
        <v>-3.6696391938299044E-2</v>
      </c>
      <c r="I20">
        <f t="shared" si="4"/>
        <v>-1.113416513930421E-2</v>
      </c>
      <c r="J20">
        <f t="shared" si="5"/>
        <v>3.8895303211680581</v>
      </c>
      <c r="L20" t="s">
        <v>315</v>
      </c>
      <c r="M20" t="s">
        <v>80</v>
      </c>
      <c r="N20">
        <v>8</v>
      </c>
      <c r="O20" s="15">
        <f>N20/N46*100</f>
        <v>0.84656084656084662</v>
      </c>
      <c r="P20">
        <f t="shared" si="12"/>
        <v>8.4656084656084662E-3</v>
      </c>
      <c r="Q20">
        <f t="shared" si="13"/>
        <v>7.1666526692981724E-5</v>
      </c>
      <c r="R20">
        <f t="shared" si="14"/>
        <v>-4.7717433858139069</v>
      </c>
      <c r="S20">
        <f t="shared" si="15"/>
        <v>-4.0395711202657412E-2</v>
      </c>
      <c r="T20">
        <f t="shared" si="16"/>
        <v>-1.0877858427696405E-2</v>
      </c>
      <c r="U20">
        <f t="shared" si="17"/>
        <v>5.838406118550437</v>
      </c>
      <c r="W20" t="s">
        <v>303</v>
      </c>
      <c r="X20" s="11" t="s">
        <v>193</v>
      </c>
      <c r="Y20">
        <v>5</v>
      </c>
      <c r="Z20">
        <v>3</v>
      </c>
      <c r="AA20">
        <v>3</v>
      </c>
      <c r="AC20" s="9">
        <f t="shared" si="86"/>
        <v>11</v>
      </c>
      <c r="AD20" s="15">
        <f t="shared" si="18"/>
        <v>1.004566210045662</v>
      </c>
      <c r="AE20" s="9">
        <f t="shared" si="19"/>
        <v>1.0045662100456621E-2</v>
      </c>
      <c r="AF20" s="9">
        <f t="shared" si="20"/>
        <v>1.0091532703655053E-4</v>
      </c>
      <c r="AG20" s="9">
        <f t="shared" si="21"/>
        <v>-4.6006143694522308</v>
      </c>
      <c r="AH20" s="9">
        <f t="shared" si="22"/>
        <v>-4.6216217410022409E-2</v>
      </c>
      <c r="AI20" s="9">
        <f t="shared" si="23"/>
        <v>-1.1938470071638976E-2</v>
      </c>
      <c r="AJ20" s="9">
        <f t="shared" si="24"/>
        <v>6.7608659905015571</v>
      </c>
      <c r="AK20" s="9"/>
      <c r="AL20" s="9"/>
      <c r="AM20" t="s">
        <v>303</v>
      </c>
      <c r="AN20" s="1" t="s">
        <v>25</v>
      </c>
      <c r="AO20" s="2">
        <f t="shared" si="25"/>
        <v>0.41279669762641896</v>
      </c>
      <c r="AP20">
        <v>4</v>
      </c>
      <c r="AQ20">
        <v>1</v>
      </c>
      <c r="AR20">
        <v>1</v>
      </c>
      <c r="AS20">
        <v>1</v>
      </c>
      <c r="AW20">
        <f t="shared" si="26"/>
        <v>4.0983606557377051E-3</v>
      </c>
      <c r="AX20">
        <f t="shared" si="27"/>
        <v>1.6796560064498793E-5</v>
      </c>
      <c r="AY20">
        <f t="shared" si="28"/>
        <v>-5.4971682252932021</v>
      </c>
      <c r="AZ20">
        <f t="shared" si="29"/>
        <v>-2.2529377972513125E-2</v>
      </c>
      <c r="BA20">
        <f t="shared" si="30"/>
        <v>-5.4804352351598461E-3</v>
      </c>
      <c r="BB20">
        <f t="shared" si="31"/>
        <v>8.7217468765167201</v>
      </c>
      <c r="BE20" t="s">
        <v>315</v>
      </c>
      <c r="BF20" s="18" t="s">
        <v>26</v>
      </c>
      <c r="BG20" s="15">
        <v>5</v>
      </c>
      <c r="BH20" s="15">
        <f>BG20/BG65*100</f>
        <v>0.60532687651331718</v>
      </c>
      <c r="BI20">
        <v>3</v>
      </c>
      <c r="BJ20">
        <v>2</v>
      </c>
      <c r="BN20">
        <f t="shared" si="6"/>
        <v>6.024096385542169E-3</v>
      </c>
      <c r="BO20">
        <f t="shared" si="7"/>
        <v>3.6289737262302225E-5</v>
      </c>
      <c r="BP20">
        <f t="shared" si="8"/>
        <v>-5.1119877883565428</v>
      </c>
      <c r="BQ20">
        <f t="shared" si="9"/>
        <v>-3.0795107158774357E-2</v>
      </c>
      <c r="BR20">
        <f t="shared" si="10"/>
        <v>-7.491134045040127E-3</v>
      </c>
      <c r="BS20">
        <f t="shared" si="11"/>
        <v>8.9298827999525709</v>
      </c>
      <c r="BV20" t="s">
        <v>303</v>
      </c>
      <c r="BW20" s="1" t="s">
        <v>30</v>
      </c>
      <c r="BX20">
        <v>17</v>
      </c>
      <c r="BY20">
        <v>1</v>
      </c>
      <c r="CA20">
        <f t="shared" si="32"/>
        <v>18</v>
      </c>
      <c r="CB20">
        <f>CA20/CA49*100</f>
        <v>0.19773700977699657</v>
      </c>
      <c r="CC20">
        <f t="shared" si="33"/>
        <v>1.9986675549633578E-3</v>
      </c>
      <c r="CD20">
        <f t="shared" si="34"/>
        <v>3.9946719952632072E-6</v>
      </c>
      <c r="CE20">
        <f t="shared" si="35"/>
        <v>-6.2152745429653526</v>
      </c>
      <c r="CF20">
        <f t="shared" si="36"/>
        <v>-1.2422267574214562E-2</v>
      </c>
      <c r="CG20">
        <f t="shared" si="37"/>
        <v>-3.263296288440869E-3</v>
      </c>
      <c r="CH20">
        <f t="shared" si="38"/>
        <v>4.8264299747314352</v>
      </c>
      <c r="CK20" t="s">
        <v>315</v>
      </c>
      <c r="CL20" s="1" t="s">
        <v>137</v>
      </c>
      <c r="CM20">
        <v>1</v>
      </c>
      <c r="CP20">
        <f t="shared" si="39"/>
        <v>1</v>
      </c>
      <c r="CQ20" s="36">
        <f t="shared" si="40"/>
        <v>8.9605734767025089E-2</v>
      </c>
      <c r="CR20">
        <f t="shared" si="41"/>
        <v>8.9206066012488853E-4</v>
      </c>
      <c r="CS20">
        <f t="shared" si="42"/>
        <v>7.9577222134245192E-7</v>
      </c>
      <c r="CT20">
        <f t="shared" si="43"/>
        <v>-7.02197642307216</v>
      </c>
      <c r="CU20">
        <f t="shared" si="44"/>
        <v>-6.2640289233471544E-3</v>
      </c>
      <c r="CV20">
        <f t="shared" si="45"/>
        <v>-1.6654335665923674E-3</v>
      </c>
      <c r="CW20">
        <f t="shared" si="46"/>
        <v>5.9850321673386508</v>
      </c>
      <c r="CZ20" t="s">
        <v>315</v>
      </c>
      <c r="DA20" s="1" t="s">
        <v>137</v>
      </c>
      <c r="DB20">
        <v>5</v>
      </c>
      <c r="DE20">
        <f t="shared" si="47"/>
        <v>5</v>
      </c>
      <c r="DF20" s="36">
        <f t="shared" si="48"/>
        <v>0.67385444743935319</v>
      </c>
      <c r="DG20">
        <f t="shared" si="49"/>
        <v>6.7204301075268818E-3</v>
      </c>
      <c r="DH20">
        <f t="shared" si="50"/>
        <v>4.5164180830153778E-5</v>
      </c>
      <c r="DI20">
        <f t="shared" si="51"/>
        <v>-5.0026031223989911</v>
      </c>
      <c r="DJ20">
        <f t="shared" si="52"/>
        <v>-3.3619644639778165E-2</v>
      </c>
      <c r="DK20">
        <f t="shared" si="53"/>
        <v>-8.3154138823930308E-3</v>
      </c>
      <c r="DL20">
        <f t="shared" si="54"/>
        <v>8.4693969237312228</v>
      </c>
      <c r="DN20" t="s">
        <v>315</v>
      </c>
      <c r="DO20" s="1" t="s">
        <v>531</v>
      </c>
      <c r="DP20">
        <v>20</v>
      </c>
      <c r="DQ20" s="15">
        <f t="shared" si="55"/>
        <v>5.1679586563307494</v>
      </c>
      <c r="DR20">
        <f t="shared" si="56"/>
        <v>5.1679586563307491E-2</v>
      </c>
      <c r="DS20">
        <f t="shared" si="57"/>
        <v>2.6707796673543921E-3</v>
      </c>
      <c r="DT20">
        <f t="shared" si="58"/>
        <v>-2.9626924194757907</v>
      </c>
      <c r="DU20">
        <f t="shared" si="59"/>
        <v>-0.15311071935275403</v>
      </c>
      <c r="DV20">
        <f t="shared" si="60"/>
        <v>-4.2402160075866474E-2</v>
      </c>
      <c r="DW20">
        <f t="shared" si="61"/>
        <v>6.0418654014563815</v>
      </c>
      <c r="DY20" t="s">
        <v>315</v>
      </c>
      <c r="DZ20" s="1" t="s">
        <v>136</v>
      </c>
      <c r="EA20">
        <v>49</v>
      </c>
      <c r="EB20">
        <v>51</v>
      </c>
      <c r="EC20">
        <v>35</v>
      </c>
      <c r="ED20">
        <f t="shared" si="62"/>
        <v>135</v>
      </c>
      <c r="EE20" s="15">
        <f t="shared" si="63"/>
        <v>11.316010058675607</v>
      </c>
      <c r="EF20">
        <f t="shared" si="64"/>
        <v>0.11316010058675607</v>
      </c>
      <c r="EG20">
        <f t="shared" si="65"/>
        <v>1.2805208364804753E-2</v>
      </c>
      <c r="EH20">
        <f t="shared" si="66"/>
        <v>-2.1789516436594867</v>
      </c>
      <c r="EI20">
        <f t="shared" si="67"/>
        <v>-0.24657038717018498</v>
      </c>
      <c r="EJ20">
        <f t="shared" si="68"/>
        <v>-6.3693511774620612E-2</v>
      </c>
      <c r="EK20">
        <f t="shared" si="69"/>
        <v>6.6344576245322022</v>
      </c>
      <c r="EM20" t="s">
        <v>315</v>
      </c>
      <c r="EN20" s="1" t="s">
        <v>504</v>
      </c>
      <c r="EO20">
        <v>3</v>
      </c>
      <c r="ER20">
        <v>4</v>
      </c>
      <c r="ES20">
        <f t="shared" si="70"/>
        <v>7</v>
      </c>
      <c r="ET20">
        <f t="shared" si="71"/>
        <v>8.7653393438517399E-2</v>
      </c>
      <c r="EU20">
        <f t="shared" si="72"/>
        <v>8.7653393438517403E-4</v>
      </c>
      <c r="EV20">
        <f t="shared" si="73"/>
        <v>7.6831173812875254E-7</v>
      </c>
      <c r="EW20">
        <f t="shared" si="74"/>
        <v>-7.0395351385678531</v>
      </c>
      <c r="EX20">
        <f t="shared" si="75"/>
        <v>-6.1703914312515613E-3</v>
      </c>
      <c r="EY20">
        <f t="shared" si="76"/>
        <v>-1.5854769641463454E-3</v>
      </c>
      <c r="EZ20">
        <f t="shared" si="77"/>
        <v>5.3419723189586055</v>
      </c>
      <c r="FB20" t="s">
        <v>315</v>
      </c>
      <c r="FC20" s="1" t="s">
        <v>531</v>
      </c>
      <c r="FD20">
        <v>4</v>
      </c>
      <c r="FE20">
        <v>5</v>
      </c>
      <c r="FG20">
        <v>4</v>
      </c>
      <c r="FH20">
        <f t="shared" si="78"/>
        <v>13</v>
      </c>
      <c r="FI20" s="15">
        <f t="shared" si="79"/>
        <v>0.23012922641175429</v>
      </c>
      <c r="FJ20">
        <f t="shared" si="80"/>
        <v>2.3012922641175429E-3</v>
      </c>
      <c r="FK20">
        <f t="shared" si="81"/>
        <v>5.295946084887247E-6</v>
      </c>
      <c r="FL20">
        <f t="shared" si="82"/>
        <v>-6.0742844598637253</v>
      </c>
      <c r="FM20">
        <f t="shared" si="83"/>
        <v>-1.3978703837533798E-2</v>
      </c>
      <c r="FN20">
        <f t="shared" si="84"/>
        <v>-3.5732672885966112E-3</v>
      </c>
    </row>
    <row r="21" spans="1:170" ht="15.75" x14ac:dyDescent="0.25">
      <c r="A21" t="s">
        <v>315</v>
      </c>
      <c r="B21" s="6" t="s">
        <v>51</v>
      </c>
      <c r="C21">
        <v>12</v>
      </c>
      <c r="D21">
        <f>(C21/C32)*100</f>
        <v>1.5</v>
      </c>
      <c r="E21">
        <f t="shared" si="0"/>
        <v>1.4999999999999999E-2</v>
      </c>
      <c r="F21">
        <f t="shared" si="1"/>
        <v>2.2499999999999999E-4</v>
      </c>
      <c r="G21">
        <f t="shared" si="2"/>
        <v>-4.1997050778799272</v>
      </c>
      <c r="H21">
        <f t="shared" si="3"/>
        <v>-6.2995576168198911E-2</v>
      </c>
      <c r="I21">
        <f t="shared" si="4"/>
        <v>-1.9113681510751136E-2</v>
      </c>
      <c r="J21">
        <f t="shared" si="5"/>
        <v>3.8895303211680581</v>
      </c>
      <c r="L21" t="s">
        <v>303</v>
      </c>
      <c r="M21" t="s">
        <v>81</v>
      </c>
      <c r="N21">
        <v>14</v>
      </c>
      <c r="O21" s="15">
        <f>N21/N46*100</f>
        <v>1.4814814814814816</v>
      </c>
      <c r="P21">
        <f t="shared" si="12"/>
        <v>1.4814814814814815E-2</v>
      </c>
      <c r="Q21">
        <f t="shared" si="13"/>
        <v>2.1947873799725654E-4</v>
      </c>
      <c r="R21">
        <f t="shared" si="14"/>
        <v>-4.2121275978784842</v>
      </c>
      <c r="S21">
        <f t="shared" si="15"/>
        <v>-6.2401890338940509E-2</v>
      </c>
      <c r="T21">
        <f t="shared" si="16"/>
        <v>-1.6803737538428992E-2</v>
      </c>
      <c r="U21">
        <f t="shared" si="17"/>
        <v>5.838406118550437</v>
      </c>
      <c r="W21" t="s">
        <v>315</v>
      </c>
      <c r="X21" s="10" t="s">
        <v>431</v>
      </c>
      <c r="Y21">
        <v>12</v>
      </c>
      <c r="Z21">
        <v>10</v>
      </c>
      <c r="AC21" s="9">
        <f t="shared" si="86"/>
        <v>22</v>
      </c>
      <c r="AD21" s="9">
        <f t="shared" si="18"/>
        <v>2.0091324200913241</v>
      </c>
      <c r="AE21" s="9">
        <f t="shared" si="19"/>
        <v>2.0091324200913242E-2</v>
      </c>
      <c r="AF21" s="9">
        <f t="shared" si="20"/>
        <v>4.0366130814620211E-4</v>
      </c>
      <c r="AG21" s="9">
        <f t="shared" si="21"/>
        <v>-3.9074671888922854</v>
      </c>
      <c r="AH21" s="9">
        <f t="shared" si="22"/>
        <v>-7.8506190096466005E-2</v>
      </c>
      <c r="AI21" s="9">
        <f t="shared" si="23"/>
        <v>-2.027954370627073E-2</v>
      </c>
      <c r="AJ21" s="9">
        <f t="shared" si="24"/>
        <v>6.7608659905015571</v>
      </c>
      <c r="AK21" s="9"/>
      <c r="AL21" s="9"/>
      <c r="AM21" t="s">
        <v>303</v>
      </c>
      <c r="AN21" s="1" t="s">
        <v>9</v>
      </c>
      <c r="AO21" s="2">
        <f t="shared" si="25"/>
        <v>0.10319917440660474</v>
      </c>
      <c r="AP21">
        <v>1</v>
      </c>
      <c r="AQ21">
        <v>1</v>
      </c>
      <c r="AW21">
        <f t="shared" si="26"/>
        <v>1.0245901639344263E-3</v>
      </c>
      <c r="AX21">
        <f t="shared" si="27"/>
        <v>1.0497850040311745E-6</v>
      </c>
      <c r="AY21">
        <f t="shared" si="28"/>
        <v>-6.8834625864130921</v>
      </c>
      <c r="AZ21">
        <f t="shared" si="29"/>
        <v>-7.0527280598494798E-3</v>
      </c>
      <c r="BA21">
        <f t="shared" si="30"/>
        <v>-1.7156274536454963E-3</v>
      </c>
      <c r="BB21">
        <f t="shared" si="31"/>
        <v>8.7217468765167201</v>
      </c>
      <c r="BE21" t="s">
        <v>303</v>
      </c>
      <c r="BF21" s="1" t="s">
        <v>9</v>
      </c>
      <c r="BG21">
        <v>10</v>
      </c>
      <c r="BH21">
        <f>BG21/BG65*100</f>
        <v>1.2106537530266344</v>
      </c>
      <c r="BI21">
        <v>4</v>
      </c>
      <c r="BJ21">
        <v>1</v>
      </c>
      <c r="BK21">
        <v>2</v>
      </c>
      <c r="BL21">
        <v>3</v>
      </c>
      <c r="BN21">
        <f t="shared" si="6"/>
        <v>1.2048192771084338E-2</v>
      </c>
      <c r="BO21">
        <f t="shared" si="7"/>
        <v>1.451589490492089E-4</v>
      </c>
      <c r="BP21">
        <f t="shared" si="8"/>
        <v>-4.4188406077965983</v>
      </c>
      <c r="BQ21">
        <f t="shared" si="9"/>
        <v>-5.3239043467428901E-2</v>
      </c>
      <c r="BR21">
        <f t="shared" si="10"/>
        <v>-1.2950784973339281E-2</v>
      </c>
      <c r="BS21">
        <f t="shared" si="11"/>
        <v>8.9298827999525709</v>
      </c>
      <c r="BV21" t="s">
        <v>303</v>
      </c>
      <c r="BW21" s="1" t="s">
        <v>28</v>
      </c>
      <c r="BX21">
        <v>1</v>
      </c>
      <c r="BY21">
        <v>1</v>
      </c>
      <c r="BZ21">
        <v>3</v>
      </c>
      <c r="CA21">
        <f t="shared" si="32"/>
        <v>5</v>
      </c>
      <c r="CB21">
        <f>CA21/CA49*100</f>
        <v>5.4926947160276837E-2</v>
      </c>
      <c r="CC21">
        <f t="shared" si="33"/>
        <v>5.5518543193426606E-4</v>
      </c>
      <c r="CD21">
        <f t="shared" si="34"/>
        <v>3.0823086383203756E-7</v>
      </c>
      <c r="CE21">
        <f t="shared" si="35"/>
        <v>-7.4962083884274167</v>
      </c>
      <c r="CF21">
        <f t="shared" si="36"/>
        <v>-4.1617856919983435E-3</v>
      </c>
      <c r="CG21">
        <f t="shared" si="37"/>
        <v>-1.0932899103039341E-3</v>
      </c>
      <c r="CH21">
        <f t="shared" si="38"/>
        <v>4.8264299747314352</v>
      </c>
      <c r="CK21" t="s">
        <v>315</v>
      </c>
      <c r="CL21" s="1" t="s">
        <v>136</v>
      </c>
      <c r="CM21">
        <v>8</v>
      </c>
      <c r="CN21">
        <v>15</v>
      </c>
      <c r="CO21">
        <v>6</v>
      </c>
      <c r="CP21">
        <f t="shared" si="39"/>
        <v>29</v>
      </c>
      <c r="CQ21" s="15">
        <f t="shared" si="40"/>
        <v>2.5985663082437274</v>
      </c>
      <c r="CR21">
        <f t="shared" si="41"/>
        <v>2.5869759143621766E-2</v>
      </c>
      <c r="CS21">
        <f t="shared" si="42"/>
        <v>6.6924443814900193E-4</v>
      </c>
      <c r="CT21">
        <f t="shared" si="43"/>
        <v>-3.6546805930856858</v>
      </c>
      <c r="CU21">
        <f t="shared" si="44"/>
        <v>-9.4545706689995443E-2</v>
      </c>
      <c r="CV21">
        <f t="shared" si="45"/>
        <v>-2.5137111502125244E-2</v>
      </c>
      <c r="CW21">
        <f t="shared" si="46"/>
        <v>5.9850321673386508</v>
      </c>
      <c r="CZ21" t="s">
        <v>315</v>
      </c>
      <c r="DA21" s="1" t="s">
        <v>136</v>
      </c>
      <c r="DC21">
        <v>3</v>
      </c>
      <c r="DD21">
        <v>1</v>
      </c>
      <c r="DE21">
        <f t="shared" si="47"/>
        <v>4</v>
      </c>
      <c r="DF21" s="15">
        <f t="shared" si="48"/>
        <v>0.53908355795148255</v>
      </c>
      <c r="DG21">
        <f t="shared" si="49"/>
        <v>5.3763440860215058E-3</v>
      </c>
      <c r="DH21">
        <f t="shared" si="50"/>
        <v>2.8905075731298421E-5</v>
      </c>
      <c r="DI21">
        <f t="shared" si="51"/>
        <v>-5.2257466737132008</v>
      </c>
      <c r="DJ21">
        <f t="shared" si="52"/>
        <v>-2.8095412224264524E-2</v>
      </c>
      <c r="DK21">
        <f t="shared" si="53"/>
        <v>-6.949061578264964E-3</v>
      </c>
      <c r="DL21">
        <f t="shared" si="54"/>
        <v>8.4693969237312228</v>
      </c>
      <c r="DN21" t="s">
        <v>303</v>
      </c>
      <c r="DO21" s="1" t="s">
        <v>29</v>
      </c>
      <c r="DP21">
        <v>2</v>
      </c>
      <c r="DQ21">
        <f t="shared" si="55"/>
        <v>0.516795865633075</v>
      </c>
      <c r="DR21">
        <f t="shared" si="56"/>
        <v>5.1679586563307496E-3</v>
      </c>
      <c r="DS21">
        <f t="shared" si="57"/>
        <v>2.6707796673543928E-5</v>
      </c>
      <c r="DT21">
        <f t="shared" si="58"/>
        <v>-5.2652775124698366</v>
      </c>
      <c r="DU21">
        <f t="shared" si="59"/>
        <v>-2.7210736498552129E-2</v>
      </c>
      <c r="DV21">
        <f t="shared" si="60"/>
        <v>-7.5356840440125349E-3</v>
      </c>
      <c r="DW21">
        <f t="shared" si="61"/>
        <v>6.0418654014563815</v>
      </c>
      <c r="DY21" t="s">
        <v>303</v>
      </c>
      <c r="DZ21" s="1" t="s">
        <v>29</v>
      </c>
      <c r="EA21">
        <v>2</v>
      </c>
      <c r="EB21">
        <v>1</v>
      </c>
      <c r="EC21">
        <v>1</v>
      </c>
      <c r="ED21">
        <f t="shared" si="62"/>
        <v>4</v>
      </c>
      <c r="EE21">
        <f t="shared" si="63"/>
        <v>0.33528918692372173</v>
      </c>
      <c r="EF21">
        <f t="shared" si="64"/>
        <v>3.3528918692372171E-3</v>
      </c>
      <c r="EG21">
        <f t="shared" si="65"/>
        <v>1.1241883886797039E-5</v>
      </c>
      <c r="EH21">
        <f t="shared" si="66"/>
        <v>-5.6979320609780251</v>
      </c>
      <c r="EI21">
        <f t="shared" si="67"/>
        <v>-1.9104550078719279E-2</v>
      </c>
      <c r="EJ21">
        <f t="shared" si="68"/>
        <v>-4.9350447121935407E-3</v>
      </c>
      <c r="EK21">
        <f t="shared" si="69"/>
        <v>6.6344576245322022</v>
      </c>
      <c r="EM21" t="s">
        <v>315</v>
      </c>
      <c r="EN21" s="1" t="s">
        <v>136</v>
      </c>
      <c r="EO21">
        <v>3</v>
      </c>
      <c r="EP21">
        <v>4</v>
      </c>
      <c r="EQ21">
        <v>13</v>
      </c>
      <c r="ER21">
        <v>8</v>
      </c>
      <c r="ES21">
        <f t="shared" si="70"/>
        <v>28</v>
      </c>
      <c r="ET21" s="15">
        <f t="shared" si="71"/>
        <v>0.3506135737540696</v>
      </c>
      <c r="EU21">
        <f t="shared" si="72"/>
        <v>3.5061357375406961E-3</v>
      </c>
      <c r="EV21">
        <f t="shared" si="73"/>
        <v>1.2292987810060041E-5</v>
      </c>
      <c r="EW21">
        <f t="shared" si="74"/>
        <v>-5.6532407774479632</v>
      </c>
      <c r="EX21">
        <f t="shared" si="75"/>
        <v>-1.9821029522732653E-2</v>
      </c>
      <c r="EY21">
        <f t="shared" si="76"/>
        <v>-5.0929971078971003E-3</v>
      </c>
      <c r="EZ21">
        <f t="shared" si="77"/>
        <v>5.3419723189586055</v>
      </c>
      <c r="FB21" t="s">
        <v>303</v>
      </c>
      <c r="FC21" s="1" t="s">
        <v>530</v>
      </c>
      <c r="FD21">
        <v>1</v>
      </c>
      <c r="FF21">
        <v>1</v>
      </c>
      <c r="FG21">
        <v>1</v>
      </c>
      <c r="FH21">
        <f t="shared" si="78"/>
        <v>3</v>
      </c>
      <c r="FI21">
        <f t="shared" si="79"/>
        <v>5.3106744556558678E-2</v>
      </c>
      <c r="FJ21">
        <f t="shared" si="80"/>
        <v>5.3106744556558679E-4</v>
      </c>
      <c r="FK21">
        <f t="shared" si="81"/>
        <v>2.820326317395575E-7</v>
      </c>
      <c r="FL21">
        <f t="shared" si="82"/>
        <v>-7.5406215286571525</v>
      </c>
      <c r="FM21">
        <f t="shared" si="83"/>
        <v>-4.0045786132008243E-3</v>
      </c>
      <c r="FN21">
        <f t="shared" si="84"/>
        <v>-1.0236592698059936E-3</v>
      </c>
    </row>
    <row r="22" spans="1:170" ht="15.75" x14ac:dyDescent="0.25">
      <c r="A22" t="s">
        <v>315</v>
      </c>
      <c r="B22" s="7" t="s">
        <v>353</v>
      </c>
      <c r="C22">
        <v>24</v>
      </c>
      <c r="D22" s="15">
        <f>(C22/C32)*100</f>
        <v>3</v>
      </c>
      <c r="E22">
        <f t="shared" si="0"/>
        <v>0.03</v>
      </c>
      <c r="F22">
        <f t="shared" si="1"/>
        <v>8.9999999999999998E-4</v>
      </c>
      <c r="G22">
        <f t="shared" si="2"/>
        <v>-3.5065578973199818</v>
      </c>
      <c r="H22">
        <f t="shared" si="3"/>
        <v>-0.10519673691959945</v>
      </c>
      <c r="I22">
        <f t="shared" si="4"/>
        <v>-3.191806548578769E-2</v>
      </c>
      <c r="J22">
        <f t="shared" si="5"/>
        <v>3.8895303211680581</v>
      </c>
      <c r="L22" t="s">
        <v>303</v>
      </c>
      <c r="M22" s="1" t="s">
        <v>417</v>
      </c>
      <c r="N22">
        <v>7</v>
      </c>
      <c r="O22">
        <f>N22/N46*100</f>
        <v>0.74074074074074081</v>
      </c>
      <c r="P22">
        <f t="shared" si="12"/>
        <v>7.4074074074074077E-3</v>
      </c>
      <c r="Q22">
        <f t="shared" si="13"/>
        <v>5.4869684499314136E-5</v>
      </c>
      <c r="R22">
        <f t="shared" si="14"/>
        <v>-4.9052747784384296</v>
      </c>
      <c r="S22">
        <f t="shared" si="15"/>
        <v>-3.6335368729173555E-2</v>
      </c>
      <c r="T22">
        <f t="shared" si="16"/>
        <v>-9.7844792228362985E-3</v>
      </c>
      <c r="U22">
        <f t="shared" si="17"/>
        <v>5.838406118550437</v>
      </c>
      <c r="W22" t="s">
        <v>303</v>
      </c>
      <c r="X22" s="11" t="s">
        <v>195</v>
      </c>
      <c r="Y22">
        <v>2</v>
      </c>
      <c r="AC22" s="9">
        <f t="shared" si="86"/>
        <v>2</v>
      </c>
      <c r="AD22" s="9">
        <f t="shared" si="18"/>
        <v>0.18264840182648401</v>
      </c>
      <c r="AE22" s="9">
        <f t="shared" si="19"/>
        <v>1.8264840182648401E-3</v>
      </c>
      <c r="AF22" s="9">
        <f t="shared" si="20"/>
        <v>3.336043868976877E-6</v>
      </c>
      <c r="AG22" s="9">
        <f t="shared" si="21"/>
        <v>-6.3053624616906561</v>
      </c>
      <c r="AH22" s="9">
        <f t="shared" si="22"/>
        <v>-1.1516643765645034E-2</v>
      </c>
      <c r="AI22" s="9">
        <f t="shared" si="23"/>
        <v>-2.9749536986569702E-3</v>
      </c>
      <c r="AJ22" s="9">
        <f t="shared" si="24"/>
        <v>6.7608659905015571</v>
      </c>
      <c r="AK22" s="9"/>
      <c r="AL22" s="9"/>
      <c r="AM22" t="s">
        <v>315</v>
      </c>
      <c r="AN22" s="1" t="s">
        <v>436</v>
      </c>
      <c r="AO22" s="2">
        <f t="shared" si="25"/>
        <v>0.10319917440660474</v>
      </c>
      <c r="AP22">
        <v>1</v>
      </c>
      <c r="AQ22">
        <v>1</v>
      </c>
      <c r="AW22">
        <f t="shared" si="26"/>
        <v>1.0245901639344263E-3</v>
      </c>
      <c r="AX22">
        <f t="shared" si="27"/>
        <v>1.0497850040311745E-6</v>
      </c>
      <c r="AY22">
        <f t="shared" si="28"/>
        <v>-6.8834625864130921</v>
      </c>
      <c r="AZ22">
        <f t="shared" si="29"/>
        <v>-7.0527280598494798E-3</v>
      </c>
      <c r="BA22">
        <f t="shared" si="30"/>
        <v>-1.7156274536454963E-3</v>
      </c>
      <c r="BB22">
        <f t="shared" si="31"/>
        <v>8.7217468765167201</v>
      </c>
      <c r="BE22" t="s">
        <v>303</v>
      </c>
      <c r="BF22" s="1" t="s">
        <v>543</v>
      </c>
      <c r="BG22">
        <v>2</v>
      </c>
      <c r="BH22">
        <f>BG22/BG65*100</f>
        <v>0.24213075060532688</v>
      </c>
      <c r="BI22">
        <v>1</v>
      </c>
      <c r="BJ22">
        <v>1</v>
      </c>
      <c r="BN22">
        <f t="shared" si="6"/>
        <v>2.4096385542168677E-3</v>
      </c>
      <c r="BO22">
        <f t="shared" si="7"/>
        <v>5.8063579619683563E-6</v>
      </c>
      <c r="BP22">
        <f t="shared" si="8"/>
        <v>-6.0282785202306979</v>
      </c>
      <c r="BQ22">
        <f t="shared" si="9"/>
        <v>-1.4525972337905297E-2</v>
      </c>
      <c r="BR22">
        <f t="shared" si="10"/>
        <v>-3.5335485392778993E-3</v>
      </c>
      <c r="BS22">
        <f t="shared" si="11"/>
        <v>8.9298827999525709</v>
      </c>
      <c r="BV22" t="s">
        <v>303</v>
      </c>
      <c r="BW22" s="2" t="s">
        <v>358</v>
      </c>
      <c r="BY22">
        <v>1</v>
      </c>
      <c r="CA22">
        <f t="shared" si="32"/>
        <v>1</v>
      </c>
      <c r="CB22">
        <f>CA22/CA49*100</f>
        <v>1.0985389432055367E-2</v>
      </c>
      <c r="CC22">
        <f t="shared" si="33"/>
        <v>1.1103708638685321E-4</v>
      </c>
      <c r="CD22">
        <f t="shared" si="34"/>
        <v>1.2329234553281503E-8</v>
      </c>
      <c r="CE22">
        <f t="shared" si="35"/>
        <v>-9.1056463008615172</v>
      </c>
      <c r="CF22">
        <f t="shared" si="36"/>
        <v>-1.0110644349168906E-3</v>
      </c>
      <c r="CG22">
        <f t="shared" si="37"/>
        <v>-2.6560390831441814E-4</v>
      </c>
      <c r="CH22">
        <f t="shared" si="38"/>
        <v>4.8264299747314352</v>
      </c>
      <c r="CK22" t="s">
        <v>303</v>
      </c>
      <c r="CL22" s="1" t="s">
        <v>29</v>
      </c>
      <c r="CO22">
        <v>1</v>
      </c>
      <c r="CP22">
        <f t="shared" si="39"/>
        <v>1</v>
      </c>
      <c r="CQ22" s="36">
        <f t="shared" si="40"/>
        <v>8.9605734767025089E-2</v>
      </c>
      <c r="CR22">
        <f t="shared" si="41"/>
        <v>8.9206066012488853E-4</v>
      </c>
      <c r="CS22">
        <f t="shared" si="42"/>
        <v>7.9577222134245192E-7</v>
      </c>
      <c r="CT22">
        <f t="shared" si="43"/>
        <v>-7.02197642307216</v>
      </c>
      <c r="CU22">
        <f t="shared" si="44"/>
        <v>-6.2640289233471544E-3</v>
      </c>
      <c r="CV22">
        <f t="shared" si="45"/>
        <v>-1.6654335665923674E-3</v>
      </c>
      <c r="CW22">
        <f t="shared" si="46"/>
        <v>5.9850321673386508</v>
      </c>
      <c r="CZ22" t="s">
        <v>303</v>
      </c>
      <c r="DA22" s="1" t="s">
        <v>29</v>
      </c>
      <c r="DC22">
        <v>3</v>
      </c>
      <c r="DD22">
        <v>2</v>
      </c>
      <c r="DE22">
        <f t="shared" si="47"/>
        <v>5</v>
      </c>
      <c r="DF22" s="36">
        <f t="shared" si="48"/>
        <v>0.67385444743935319</v>
      </c>
      <c r="DG22">
        <f t="shared" si="49"/>
        <v>6.7204301075268818E-3</v>
      </c>
      <c r="DH22">
        <f t="shared" si="50"/>
        <v>4.5164180830153778E-5</v>
      </c>
      <c r="DI22">
        <f t="shared" si="51"/>
        <v>-5.0026031223989911</v>
      </c>
      <c r="DJ22">
        <f t="shared" si="52"/>
        <v>-3.3619644639778165E-2</v>
      </c>
      <c r="DK22">
        <f t="shared" si="53"/>
        <v>-8.3154138823930308E-3</v>
      </c>
      <c r="DL22">
        <f t="shared" si="54"/>
        <v>8.4693969237312228</v>
      </c>
      <c r="DN22" t="s">
        <v>303</v>
      </c>
      <c r="DO22" s="1" t="s">
        <v>484</v>
      </c>
      <c r="DP22">
        <v>3</v>
      </c>
      <c r="DQ22">
        <f t="shared" si="55"/>
        <v>0.77519379844961245</v>
      </c>
      <c r="DR22">
        <f t="shared" si="56"/>
        <v>7.7519379844961239E-3</v>
      </c>
      <c r="DS22">
        <f t="shared" si="57"/>
        <v>6.0092542515473829E-5</v>
      </c>
      <c r="DT22">
        <f t="shared" si="58"/>
        <v>-4.8598124043616719</v>
      </c>
      <c r="DU22">
        <f t="shared" si="59"/>
        <v>-3.7672964374896679E-2</v>
      </c>
      <c r="DV22">
        <f t="shared" si="60"/>
        <v>-1.0433071392450819E-2</v>
      </c>
      <c r="DW22">
        <f t="shared" si="61"/>
        <v>6.0418654014563815</v>
      </c>
      <c r="DY22" t="s">
        <v>303</v>
      </c>
      <c r="DZ22" s="1" t="s">
        <v>463</v>
      </c>
      <c r="EA22">
        <v>3</v>
      </c>
      <c r="ED22">
        <f t="shared" si="62"/>
        <v>3</v>
      </c>
      <c r="EE22">
        <f t="shared" si="63"/>
        <v>0.25146689019279128</v>
      </c>
      <c r="EF22">
        <f t="shared" si="64"/>
        <v>2.5146689019279128E-3</v>
      </c>
      <c r="EG22">
        <f t="shared" si="65"/>
        <v>6.3235596863233349E-6</v>
      </c>
      <c r="EH22">
        <f t="shared" si="66"/>
        <v>-5.9856141334298067</v>
      </c>
      <c r="EI22">
        <f t="shared" si="67"/>
        <v>-1.5051837720276127E-2</v>
      </c>
      <c r="EJ22">
        <f t="shared" si="68"/>
        <v>-3.8881571062480435E-3</v>
      </c>
      <c r="EK22">
        <f t="shared" si="69"/>
        <v>6.6344576245322022</v>
      </c>
      <c r="EM22" t="s">
        <v>303</v>
      </c>
      <c r="EN22" s="1" t="s">
        <v>29</v>
      </c>
      <c r="EO22">
        <v>2</v>
      </c>
      <c r="EP22">
        <v>5</v>
      </c>
      <c r="ER22">
        <v>1</v>
      </c>
      <c r="ES22">
        <f t="shared" si="70"/>
        <v>8</v>
      </c>
      <c r="ET22">
        <f t="shared" si="71"/>
        <v>0.10017530678687703</v>
      </c>
      <c r="EU22">
        <f t="shared" si="72"/>
        <v>1.0017530678687703E-3</v>
      </c>
      <c r="EV22">
        <f t="shared" si="73"/>
        <v>1.003509208984493E-6</v>
      </c>
      <c r="EW22">
        <f t="shared" si="74"/>
        <v>-6.9060037459433312</v>
      </c>
      <c r="EX22">
        <f t="shared" si="75"/>
        <v>-6.9181104392119514E-3</v>
      </c>
      <c r="EY22">
        <f t="shared" si="76"/>
        <v>-1.777602743520945E-3</v>
      </c>
      <c r="EZ22">
        <f t="shared" si="77"/>
        <v>5.3419723189586055</v>
      </c>
      <c r="FB22" t="s">
        <v>303</v>
      </c>
      <c r="FC22" s="1" t="s">
        <v>463</v>
      </c>
      <c r="FE22">
        <v>1</v>
      </c>
      <c r="FF22">
        <v>1</v>
      </c>
      <c r="FH22">
        <f t="shared" si="78"/>
        <v>2</v>
      </c>
      <c r="FI22">
        <f t="shared" si="79"/>
        <v>3.5404496371039117E-2</v>
      </c>
      <c r="FJ22">
        <f t="shared" si="80"/>
        <v>3.5404496371039119E-4</v>
      </c>
      <c r="FK22">
        <f t="shared" si="81"/>
        <v>1.2534783632869223E-7</v>
      </c>
      <c r="FL22">
        <f t="shared" si="82"/>
        <v>-7.9460866367653171</v>
      </c>
      <c r="FM22">
        <f t="shared" si="83"/>
        <v>-2.8132719549532012E-3</v>
      </c>
      <c r="FN22">
        <f t="shared" si="84"/>
        <v>-7.1913481874969355E-4</v>
      </c>
    </row>
    <row r="23" spans="1:170" x14ac:dyDescent="0.25">
      <c r="A23" t="s">
        <v>303</v>
      </c>
      <c r="B23" t="s">
        <v>103</v>
      </c>
      <c r="C23">
        <v>29</v>
      </c>
      <c r="D23">
        <f>(C23/C32)*100</f>
        <v>3.6249999999999996</v>
      </c>
      <c r="E23">
        <f t="shared" si="0"/>
        <v>3.6249999999999998E-2</v>
      </c>
      <c r="F23">
        <f t="shared" si="1"/>
        <v>1.3140624999999999E-3</v>
      </c>
      <c r="G23">
        <f t="shared" si="2"/>
        <v>-3.3173158976814534</v>
      </c>
      <c r="H23">
        <f t="shared" si="3"/>
        <v>-0.12025270129095268</v>
      </c>
      <c r="I23">
        <f t="shared" si="4"/>
        <v>-3.6486241940954955E-2</v>
      </c>
      <c r="J23">
        <f t="shared" si="5"/>
        <v>3.8895303211680581</v>
      </c>
      <c r="L23" t="s">
        <v>303</v>
      </c>
      <c r="M23" t="s">
        <v>82</v>
      </c>
      <c r="N23">
        <v>4</v>
      </c>
      <c r="O23">
        <f>N23/N46*100</f>
        <v>0.42328042328042331</v>
      </c>
      <c r="P23">
        <f t="shared" si="12"/>
        <v>4.2328042328042331E-3</v>
      </c>
      <c r="Q23">
        <f t="shared" si="13"/>
        <v>1.7916631673245431E-5</v>
      </c>
      <c r="R23">
        <f t="shared" si="14"/>
        <v>-5.4648905663738523</v>
      </c>
      <c r="S23">
        <f t="shared" si="15"/>
        <v>-2.3131811921159165E-2</v>
      </c>
      <c r="T23">
        <f t="shared" si="16"/>
        <v>-6.2289923302035191E-3</v>
      </c>
      <c r="U23">
        <f t="shared" si="17"/>
        <v>5.838406118550437</v>
      </c>
      <c r="W23" t="s">
        <v>303</v>
      </c>
      <c r="X23" s="11" t="s">
        <v>28</v>
      </c>
      <c r="Y23">
        <v>1</v>
      </c>
      <c r="AA23">
        <v>40</v>
      </c>
      <c r="AC23" s="9">
        <f t="shared" si="86"/>
        <v>41</v>
      </c>
      <c r="AD23" s="9">
        <f t="shared" si="18"/>
        <v>3.7442922374429219</v>
      </c>
      <c r="AE23" s="9">
        <f t="shared" si="19"/>
        <v>3.744292237442922E-2</v>
      </c>
      <c r="AF23" s="9">
        <f t="shared" si="20"/>
        <v>1.4019724359375324E-3</v>
      </c>
      <c r="AG23" s="9">
        <f t="shared" si="21"/>
        <v>-3.2849375755462935</v>
      </c>
      <c r="AH23" s="9">
        <f t="shared" si="22"/>
        <v>-0.12299766264602559</v>
      </c>
      <c r="AI23" s="9">
        <f t="shared" si="23"/>
        <v>-3.1772481537242526E-2</v>
      </c>
      <c r="AJ23" s="9">
        <f t="shared" si="24"/>
        <v>6.7608659905015571</v>
      </c>
      <c r="AK23" s="9"/>
      <c r="AL23" s="9"/>
      <c r="AM23" t="s">
        <v>303</v>
      </c>
      <c r="AN23" s="1" t="s">
        <v>10</v>
      </c>
      <c r="AO23" s="2">
        <f t="shared" si="25"/>
        <v>1.4447884416924663</v>
      </c>
      <c r="AP23">
        <v>14</v>
      </c>
      <c r="AQ23">
        <v>3</v>
      </c>
      <c r="AR23">
        <v>2</v>
      </c>
      <c r="AS23">
        <v>5</v>
      </c>
      <c r="AT23">
        <v>4</v>
      </c>
      <c r="AW23">
        <f t="shared" si="26"/>
        <v>1.4344262295081968E-2</v>
      </c>
      <c r="AX23">
        <f t="shared" si="27"/>
        <v>2.0575786079011019E-4</v>
      </c>
      <c r="AY23">
        <f t="shared" si="28"/>
        <v>-4.2444052567978341</v>
      </c>
      <c r="AZ23">
        <f t="shared" si="29"/>
        <v>-6.0882862290132865E-2</v>
      </c>
      <c r="BA23">
        <f t="shared" si="30"/>
        <v>-1.4810199558963186E-2</v>
      </c>
      <c r="BB23">
        <f t="shared" si="31"/>
        <v>8.7217468765167201</v>
      </c>
      <c r="BE23" t="s">
        <v>321</v>
      </c>
      <c r="BF23" s="1" t="s">
        <v>27</v>
      </c>
      <c r="BG23">
        <v>19</v>
      </c>
      <c r="BH23">
        <f>BG23/BG65*100</f>
        <v>2.3002421307506054</v>
      </c>
      <c r="BI23">
        <v>4</v>
      </c>
      <c r="BJ23">
        <v>15</v>
      </c>
      <c r="BN23">
        <f t="shared" si="6"/>
        <v>2.289156626506024E-2</v>
      </c>
      <c r="BO23">
        <f t="shared" si="7"/>
        <v>5.2402380606764404E-4</v>
      </c>
      <c r="BP23">
        <f t="shared" si="8"/>
        <v>-3.776986721624203</v>
      </c>
      <c r="BQ23">
        <f t="shared" si="9"/>
        <v>-8.6461141820313073E-2</v>
      </c>
      <c r="BR23">
        <f t="shared" si="10"/>
        <v>-2.1032302298017658E-2</v>
      </c>
      <c r="BS23">
        <f t="shared" si="11"/>
        <v>8.9298827999525709</v>
      </c>
      <c r="BV23" t="s">
        <v>303</v>
      </c>
      <c r="BW23" s="1" t="s">
        <v>414</v>
      </c>
      <c r="BX23">
        <v>2</v>
      </c>
      <c r="CA23">
        <f t="shared" si="32"/>
        <v>2</v>
      </c>
      <c r="CB23">
        <f>CA23/CA49*100</f>
        <v>2.1970778864110734E-2</v>
      </c>
      <c r="CC23">
        <f t="shared" si="33"/>
        <v>2.2207417277370642E-4</v>
      </c>
      <c r="CD23">
        <f t="shared" si="34"/>
        <v>4.9316938213126014E-8</v>
      </c>
      <c r="CE23">
        <f t="shared" si="35"/>
        <v>-8.4124991203015718</v>
      </c>
      <c r="CF23">
        <f t="shared" si="36"/>
        <v>-1.8681987831005045E-3</v>
      </c>
      <c r="CG23">
        <f t="shared" si="37"/>
        <v>-4.9077079675987375E-4</v>
      </c>
      <c r="CH23">
        <f t="shared" si="38"/>
        <v>4.8264299747314352</v>
      </c>
      <c r="CK23" t="s">
        <v>303</v>
      </c>
      <c r="CL23" s="1" t="s">
        <v>463</v>
      </c>
      <c r="CM23">
        <v>5</v>
      </c>
      <c r="CP23">
        <f t="shared" si="39"/>
        <v>5</v>
      </c>
      <c r="CQ23" s="36">
        <f t="shared" si="40"/>
        <v>0.4480286738351254</v>
      </c>
      <c r="CR23">
        <f t="shared" si="41"/>
        <v>4.4603033006244425E-3</v>
      </c>
      <c r="CS23">
        <f t="shared" si="42"/>
        <v>1.9894305533561297E-5</v>
      </c>
      <c r="CT23">
        <f t="shared" si="43"/>
        <v>-5.4125385106380595</v>
      </c>
      <c r="CU23">
        <f t="shared" si="44"/>
        <v>-2.4141563383755841E-2</v>
      </c>
      <c r="CV23">
        <f t="shared" si="45"/>
        <v>-6.4185798790724951E-3</v>
      </c>
      <c r="CW23">
        <f t="shared" si="46"/>
        <v>5.9850321673386508</v>
      </c>
      <c r="CZ23" t="s">
        <v>303</v>
      </c>
      <c r="DA23" s="1" t="s">
        <v>463</v>
      </c>
      <c r="DC23">
        <v>5</v>
      </c>
      <c r="DD23">
        <v>1</v>
      </c>
      <c r="DE23">
        <f t="shared" si="47"/>
        <v>6</v>
      </c>
      <c r="DF23" s="36">
        <f t="shared" si="48"/>
        <v>0.80862533692722371</v>
      </c>
      <c r="DG23">
        <f t="shared" si="49"/>
        <v>8.0645161290322578E-3</v>
      </c>
      <c r="DH23">
        <f t="shared" si="50"/>
        <v>6.5036420395421429E-5</v>
      </c>
      <c r="DI23">
        <f t="shared" si="51"/>
        <v>-4.8202815656050371</v>
      </c>
      <c r="DJ23">
        <f t="shared" si="52"/>
        <v>-3.8873238432298687E-2</v>
      </c>
      <c r="DK23">
        <f t="shared" si="53"/>
        <v>-9.6148269851445908E-3</v>
      </c>
      <c r="DL23">
        <f t="shared" si="54"/>
        <v>8.4693969237312228</v>
      </c>
      <c r="DN23" t="s">
        <v>315</v>
      </c>
      <c r="DO23" s="1" t="s">
        <v>277</v>
      </c>
      <c r="DP23">
        <v>5</v>
      </c>
      <c r="DQ23" s="15">
        <f t="shared" si="55"/>
        <v>1.2919896640826873</v>
      </c>
      <c r="DR23">
        <f t="shared" si="56"/>
        <v>1.2919896640826873E-2</v>
      </c>
      <c r="DS23">
        <f t="shared" si="57"/>
        <v>1.6692372920964951E-4</v>
      </c>
      <c r="DT23">
        <f t="shared" si="58"/>
        <v>-4.3489867805956814</v>
      </c>
      <c r="DU23">
        <f t="shared" si="59"/>
        <v>-5.6188459697618619E-2</v>
      </c>
      <c r="DV23">
        <f t="shared" si="60"/>
        <v>-1.5560713662546985E-2</v>
      </c>
      <c r="DW23">
        <f t="shared" si="61"/>
        <v>6.0418654014563815</v>
      </c>
      <c r="DY23" t="s">
        <v>303</v>
      </c>
      <c r="DZ23" s="1" t="s">
        <v>147</v>
      </c>
      <c r="EA23">
        <v>3</v>
      </c>
      <c r="ED23">
        <f t="shared" si="62"/>
        <v>3</v>
      </c>
      <c r="EE23">
        <f t="shared" si="63"/>
        <v>0.25146689019279128</v>
      </c>
      <c r="EF23">
        <f t="shared" si="64"/>
        <v>2.5146689019279128E-3</v>
      </c>
      <c r="EG23">
        <f t="shared" si="65"/>
        <v>6.3235596863233349E-6</v>
      </c>
      <c r="EH23">
        <f t="shared" si="66"/>
        <v>-5.9856141334298067</v>
      </c>
      <c r="EI23">
        <f t="shared" si="67"/>
        <v>-1.5051837720276127E-2</v>
      </c>
      <c r="EJ23">
        <f t="shared" si="68"/>
        <v>-3.8881571062480435E-3</v>
      </c>
      <c r="EK23">
        <f t="shared" si="69"/>
        <v>6.6344576245322022</v>
      </c>
      <c r="EM23" t="s">
        <v>303</v>
      </c>
      <c r="EN23" s="1" t="s">
        <v>463</v>
      </c>
      <c r="EP23">
        <v>3</v>
      </c>
      <c r="ES23">
        <f t="shared" si="70"/>
        <v>3</v>
      </c>
      <c r="ET23">
        <f t="shared" si="71"/>
        <v>3.7565740045078892E-2</v>
      </c>
      <c r="EU23">
        <f t="shared" si="72"/>
        <v>3.756574004507889E-4</v>
      </c>
      <c r="EV23">
        <f t="shared" si="73"/>
        <v>1.4111848251344438E-7</v>
      </c>
      <c r="EW23">
        <f t="shared" si="74"/>
        <v>-7.8868329989550565</v>
      </c>
      <c r="EX23">
        <f t="shared" si="75"/>
        <v>-2.9627471821769562E-3</v>
      </c>
      <c r="EY23">
        <f t="shared" si="76"/>
        <v>-7.6127543289069384E-4</v>
      </c>
      <c r="EZ23">
        <f t="shared" si="77"/>
        <v>5.3419723189586055</v>
      </c>
      <c r="FB23" t="s">
        <v>315</v>
      </c>
      <c r="FC23" s="1" t="s">
        <v>497</v>
      </c>
      <c r="FF23">
        <v>1</v>
      </c>
      <c r="FH23">
        <f t="shared" si="78"/>
        <v>1</v>
      </c>
      <c r="FI23" s="15">
        <f t="shared" si="79"/>
        <v>1.7702248185519558E-2</v>
      </c>
      <c r="FJ23">
        <f t="shared" si="80"/>
        <v>1.770224818551956E-4</v>
      </c>
      <c r="FK23">
        <f t="shared" si="81"/>
        <v>3.1336959082173057E-8</v>
      </c>
      <c r="FL23">
        <f t="shared" si="82"/>
        <v>-8.6392338173252625</v>
      </c>
      <c r="FM23">
        <f t="shared" si="83"/>
        <v>-1.5293386116702534E-3</v>
      </c>
      <c r="FN23">
        <f t="shared" si="84"/>
        <v>-3.9093292895982777E-4</v>
      </c>
    </row>
    <row r="24" spans="1:170" x14ac:dyDescent="0.25">
      <c r="A24" t="s">
        <v>303</v>
      </c>
      <c r="B24" s="1" t="s">
        <v>409</v>
      </c>
      <c r="C24">
        <v>1</v>
      </c>
      <c r="D24">
        <f>(C24/C32)*100</f>
        <v>0.125</v>
      </c>
      <c r="E24">
        <f t="shared" si="0"/>
        <v>1.25E-3</v>
      </c>
      <c r="F24">
        <f t="shared" si="1"/>
        <v>1.5625000000000001E-6</v>
      </c>
      <c r="G24">
        <f t="shared" si="2"/>
        <v>-6.6846117276679271</v>
      </c>
      <c r="H24">
        <f t="shared" si="3"/>
        <v>-8.3557646595849092E-3</v>
      </c>
      <c r="I24">
        <f t="shared" si="4"/>
        <v>-2.5352482538721424E-3</v>
      </c>
      <c r="J24">
        <f t="shared" si="5"/>
        <v>3.8895303211680581</v>
      </c>
      <c r="L24" t="s">
        <v>315</v>
      </c>
      <c r="M24" t="s">
        <v>83</v>
      </c>
      <c r="N24">
        <v>83</v>
      </c>
      <c r="O24" s="15">
        <f>N24/N46*100</f>
        <v>8.7830687830687832</v>
      </c>
      <c r="P24">
        <f t="shared" si="12"/>
        <v>8.7830687830687829E-2</v>
      </c>
      <c r="Q24">
        <f t="shared" si="13"/>
        <v>7.7142297248117353E-3</v>
      </c>
      <c r="R24">
        <f t="shared" si="14"/>
        <v>-2.4323443196971448</v>
      </c>
      <c r="S24">
        <f t="shared" si="15"/>
        <v>-0.21363447464006668</v>
      </c>
      <c r="T24">
        <f t="shared" si="16"/>
        <v>-5.7528027140095694E-2</v>
      </c>
      <c r="U24">
        <f t="shared" si="17"/>
        <v>5.838406118550437</v>
      </c>
      <c r="W24" t="s">
        <v>315</v>
      </c>
      <c r="X24" s="11" t="s">
        <v>430</v>
      </c>
      <c r="Y24">
        <v>8</v>
      </c>
      <c r="Z24">
        <v>3</v>
      </c>
      <c r="AC24" s="9">
        <f t="shared" si="86"/>
        <v>11</v>
      </c>
      <c r="AD24" s="9">
        <f t="shared" si="18"/>
        <v>1.004566210045662</v>
      </c>
      <c r="AE24" s="9">
        <f t="shared" si="19"/>
        <v>1.0045662100456621E-2</v>
      </c>
      <c r="AF24" s="9">
        <f t="shared" si="20"/>
        <v>1.0091532703655053E-4</v>
      </c>
      <c r="AG24" s="9">
        <f t="shared" si="21"/>
        <v>-4.6006143694522308</v>
      </c>
      <c r="AH24" s="9">
        <f t="shared" si="22"/>
        <v>-4.6216217410022409E-2</v>
      </c>
      <c r="AI24" s="9">
        <f t="shared" si="23"/>
        <v>-1.1938470071638976E-2</v>
      </c>
      <c r="AJ24" s="9">
        <f t="shared" si="24"/>
        <v>6.7608659905015571</v>
      </c>
      <c r="AK24" s="9"/>
      <c r="AL24" s="9"/>
      <c r="AM24" t="s">
        <v>315</v>
      </c>
      <c r="AN24" s="1" t="s">
        <v>26</v>
      </c>
      <c r="AO24" s="38">
        <f t="shared" si="25"/>
        <v>0.82559339525283792</v>
      </c>
      <c r="AP24">
        <v>8</v>
      </c>
      <c r="AQ24">
        <v>3</v>
      </c>
      <c r="AR24">
        <v>2</v>
      </c>
      <c r="AW24">
        <f t="shared" si="26"/>
        <v>8.1967213114754103E-3</v>
      </c>
      <c r="AX24">
        <f t="shared" si="27"/>
        <v>6.718624025799517E-5</v>
      </c>
      <c r="AY24">
        <f t="shared" si="28"/>
        <v>-4.8040210447332568</v>
      </c>
      <c r="AZ24">
        <f t="shared" si="29"/>
        <v>-3.937722167814145E-2</v>
      </c>
      <c r="BA24">
        <f t="shared" si="30"/>
        <v>-9.5787958908975512E-3</v>
      </c>
      <c r="BB24">
        <f t="shared" si="31"/>
        <v>8.7217468765167201</v>
      </c>
      <c r="BE24" t="s">
        <v>303</v>
      </c>
      <c r="BF24" s="1" t="s">
        <v>10</v>
      </c>
      <c r="BG24">
        <v>15</v>
      </c>
      <c r="BH24">
        <f>BG24/BG65*100</f>
        <v>1.8159806295399514</v>
      </c>
      <c r="BI24">
        <v>6</v>
      </c>
      <c r="BJ24">
        <v>8</v>
      </c>
      <c r="BK24">
        <v>1</v>
      </c>
      <c r="BN24">
        <f t="shared" si="6"/>
        <v>1.8072289156626505E-2</v>
      </c>
      <c r="BO24">
        <f t="shared" si="7"/>
        <v>3.2660763536071995E-4</v>
      </c>
      <c r="BP24">
        <f t="shared" si="8"/>
        <v>-4.0133754996884337</v>
      </c>
      <c r="BQ24">
        <f t="shared" si="9"/>
        <v>-7.2530882524489762E-2</v>
      </c>
      <c r="BR24">
        <f t="shared" si="10"/>
        <v>-1.76436652937965E-2</v>
      </c>
      <c r="BS24">
        <f t="shared" si="11"/>
        <v>8.9298827999525709</v>
      </c>
      <c r="BV24" t="s">
        <v>315</v>
      </c>
      <c r="BW24" s="18" t="s">
        <v>38</v>
      </c>
      <c r="BX24" s="15">
        <v>16</v>
      </c>
      <c r="BY24" s="15">
        <v>28</v>
      </c>
      <c r="BZ24" s="15">
        <v>44</v>
      </c>
      <c r="CA24" s="15">
        <f t="shared" si="32"/>
        <v>88</v>
      </c>
      <c r="CB24" s="15">
        <f>CA24/CA49*100</f>
        <v>0.96671427002087229</v>
      </c>
      <c r="CC24">
        <f t="shared" si="33"/>
        <v>9.7712636020430826E-3</v>
      </c>
      <c r="CD24">
        <f t="shared" si="34"/>
        <v>9.5477592380611951E-5</v>
      </c>
      <c r="CE24">
        <f t="shared" si="35"/>
        <v>-4.6283094863833103</v>
      </c>
      <c r="CF24">
        <f t="shared" si="36"/>
        <v>-4.5224432023287957E-2</v>
      </c>
      <c r="CG24">
        <f t="shared" si="37"/>
        <v>-1.1880336684646985E-2</v>
      </c>
      <c r="CH24">
        <f t="shared" si="38"/>
        <v>4.8264299747314352</v>
      </c>
      <c r="CK24" t="s">
        <v>303</v>
      </c>
      <c r="CL24" s="1" t="s">
        <v>170</v>
      </c>
      <c r="CM24">
        <v>2</v>
      </c>
      <c r="CN24">
        <v>5</v>
      </c>
      <c r="CP24">
        <f t="shared" si="39"/>
        <v>7</v>
      </c>
      <c r="CQ24" s="36">
        <f t="shared" si="40"/>
        <v>0.62724014336917566</v>
      </c>
      <c r="CR24">
        <f t="shared" si="41"/>
        <v>6.2444246208742194E-3</v>
      </c>
      <c r="CS24">
        <f t="shared" si="42"/>
        <v>3.8992838845780139E-5</v>
      </c>
      <c r="CT24">
        <f t="shared" si="43"/>
        <v>-5.0760662740168465</v>
      </c>
      <c r="CU24">
        <f t="shared" si="44"/>
        <v>-3.1697113218660061E-2</v>
      </c>
      <c r="CV24">
        <f t="shared" si="45"/>
        <v>-8.4273934498736817E-3</v>
      </c>
      <c r="CW24">
        <f t="shared" si="46"/>
        <v>5.9850321673386508</v>
      </c>
      <c r="CZ24" t="s">
        <v>303</v>
      </c>
      <c r="DA24" s="1" t="s">
        <v>147</v>
      </c>
      <c r="DB24">
        <v>26</v>
      </c>
      <c r="DC24">
        <v>10</v>
      </c>
      <c r="DE24">
        <f t="shared" si="47"/>
        <v>36</v>
      </c>
      <c r="DF24" s="36">
        <f t="shared" si="48"/>
        <v>4.8517520215633425</v>
      </c>
      <c r="DG24">
        <f t="shared" si="49"/>
        <v>4.8387096774193547E-2</v>
      </c>
      <c r="DH24">
        <f t="shared" si="50"/>
        <v>2.3413111342351716E-3</v>
      </c>
      <c r="DI24">
        <f t="shared" si="51"/>
        <v>-3.0285220963769821</v>
      </c>
      <c r="DJ24">
        <f t="shared" si="52"/>
        <v>-0.14654139176017655</v>
      </c>
      <c r="DK24">
        <f t="shared" si="53"/>
        <v>-3.6245246981165248E-2</v>
      </c>
      <c r="DL24">
        <f t="shared" si="54"/>
        <v>8.4693969237312228</v>
      </c>
      <c r="DN24" t="s">
        <v>322</v>
      </c>
      <c r="DO24" s="1" t="s">
        <v>473</v>
      </c>
      <c r="DP24">
        <v>4</v>
      </c>
      <c r="DQ24">
        <f t="shared" si="55"/>
        <v>1.03359173126615</v>
      </c>
      <c r="DR24">
        <f t="shared" si="56"/>
        <v>1.0335917312661499E-2</v>
      </c>
      <c r="DS24">
        <f t="shared" si="57"/>
        <v>1.0683118669417571E-4</v>
      </c>
      <c r="DT24">
        <f t="shared" si="58"/>
        <v>-4.5721303319098912</v>
      </c>
      <c r="DU24">
        <f t="shared" si="59"/>
        <v>-4.7257161053332213E-2</v>
      </c>
      <c r="DV24">
        <f t="shared" si="60"/>
        <v>-1.3087298630592922E-2</v>
      </c>
      <c r="DW24">
        <f t="shared" si="61"/>
        <v>6.0418654014563815</v>
      </c>
      <c r="DY24" t="s">
        <v>315</v>
      </c>
      <c r="DZ24" s="1" t="s">
        <v>497</v>
      </c>
      <c r="EA24">
        <v>3</v>
      </c>
      <c r="EB24">
        <v>4</v>
      </c>
      <c r="EC24">
        <v>4</v>
      </c>
      <c r="ED24">
        <f t="shared" si="62"/>
        <v>11</v>
      </c>
      <c r="EE24" s="15">
        <f t="shared" si="63"/>
        <v>0.92204526404023457</v>
      </c>
      <c r="EF24">
        <f t="shared" si="64"/>
        <v>9.2204526404023462E-3</v>
      </c>
      <c r="EG24">
        <f t="shared" si="65"/>
        <v>8.5016746893902602E-5</v>
      </c>
      <c r="EH24">
        <f t="shared" si="66"/>
        <v>-4.6863311492995461</v>
      </c>
      <c r="EI24">
        <f t="shared" si="67"/>
        <v>-4.321009441935876E-2</v>
      </c>
      <c r="EJ24">
        <f t="shared" si="68"/>
        <v>-1.1161935093942574E-2</v>
      </c>
      <c r="EK24">
        <f t="shared" si="69"/>
        <v>6.6344576245322022</v>
      </c>
      <c r="EM24" t="s">
        <v>315</v>
      </c>
      <c r="EN24" s="1" t="s">
        <v>505</v>
      </c>
      <c r="EO24">
        <v>3</v>
      </c>
      <c r="EQ24">
        <v>8</v>
      </c>
      <c r="ES24">
        <f t="shared" si="70"/>
        <v>11</v>
      </c>
      <c r="ET24" s="15">
        <f t="shared" si="71"/>
        <v>0.13774104683195593</v>
      </c>
      <c r="EU24">
        <f t="shared" si="72"/>
        <v>1.3774104683195593E-3</v>
      </c>
      <c r="EV24">
        <f t="shared" si="73"/>
        <v>1.8972595982363076E-6</v>
      </c>
      <c r="EW24">
        <f t="shared" si="74"/>
        <v>-6.5875500148247959</v>
      </c>
      <c r="EX24">
        <f t="shared" si="75"/>
        <v>-9.0737603509983417E-3</v>
      </c>
      <c r="EY24">
        <f t="shared" si="76"/>
        <v>-2.3314952017192076E-3</v>
      </c>
      <c r="EZ24">
        <f t="shared" si="77"/>
        <v>5.3419723189586055</v>
      </c>
      <c r="FB24" t="s">
        <v>315</v>
      </c>
      <c r="FC24" s="1" t="s">
        <v>149</v>
      </c>
      <c r="FD24">
        <v>5</v>
      </c>
      <c r="FE24">
        <v>6</v>
      </c>
      <c r="FF24">
        <v>2</v>
      </c>
      <c r="FG24">
        <v>2</v>
      </c>
      <c r="FH24">
        <f t="shared" si="78"/>
        <v>15</v>
      </c>
      <c r="FI24">
        <f t="shared" si="79"/>
        <v>0.26553372278279341</v>
      </c>
      <c r="FJ24">
        <f t="shared" si="80"/>
        <v>2.6553372278279343E-3</v>
      </c>
      <c r="FK24">
        <f t="shared" si="81"/>
        <v>7.0508157934889391E-6</v>
      </c>
      <c r="FL24">
        <f t="shared" si="82"/>
        <v>-5.931183616223052</v>
      </c>
      <c r="FM24">
        <f t="shared" si="83"/>
        <v>-1.5749292661240182E-2</v>
      </c>
      <c r="FN24">
        <f t="shared" si="84"/>
        <v>-4.0258691320033593E-3</v>
      </c>
    </row>
    <row r="25" spans="1:170" x14ac:dyDescent="0.25">
      <c r="A25" t="s">
        <v>303</v>
      </c>
      <c r="B25" s="1" t="s">
        <v>88</v>
      </c>
      <c r="C25">
        <v>2</v>
      </c>
      <c r="D25">
        <f>(C25/C32)*100</f>
        <v>0.25</v>
      </c>
      <c r="E25">
        <f t="shared" si="0"/>
        <v>2.5000000000000001E-3</v>
      </c>
      <c r="F25">
        <f t="shared" si="1"/>
        <v>6.2500000000000003E-6</v>
      </c>
      <c r="G25">
        <f t="shared" si="2"/>
        <v>-5.9914645471079817</v>
      </c>
      <c r="H25">
        <f t="shared" si="3"/>
        <v>-1.4978661367769954E-2</v>
      </c>
      <c r="I25">
        <f t="shared" si="4"/>
        <v>-4.5447217131014033E-3</v>
      </c>
      <c r="J25">
        <f t="shared" si="5"/>
        <v>3.8895303211680581</v>
      </c>
      <c r="L25" t="s">
        <v>315</v>
      </c>
      <c r="M25" t="s">
        <v>84</v>
      </c>
      <c r="N25">
        <v>55</v>
      </c>
      <c r="O25" s="15">
        <f>N25/N46*100</f>
        <v>5.8201058201058196</v>
      </c>
      <c r="P25">
        <f t="shared" si="12"/>
        <v>5.8201058201058198E-2</v>
      </c>
      <c r="Q25">
        <f t="shared" si="13"/>
        <v>3.3873631757229635E-3</v>
      </c>
      <c r="R25">
        <f t="shared" si="14"/>
        <v>-2.8438517422612719</v>
      </c>
      <c r="S25">
        <f t="shared" si="15"/>
        <v>-0.16551518076652905</v>
      </c>
      <c r="T25">
        <f t="shared" si="16"/>
        <v>-4.4570342999541997E-2</v>
      </c>
      <c r="U25">
        <f t="shared" si="17"/>
        <v>5.838406118550437</v>
      </c>
      <c r="W25" t="s">
        <v>315</v>
      </c>
      <c r="X25" s="10" t="s">
        <v>534</v>
      </c>
      <c r="Y25">
        <v>1</v>
      </c>
      <c r="AC25" s="9">
        <f t="shared" si="86"/>
        <v>1</v>
      </c>
      <c r="AD25" s="15">
        <f t="shared" si="18"/>
        <v>9.1324200913242004E-2</v>
      </c>
      <c r="AE25" s="9">
        <f t="shared" si="19"/>
        <v>9.1324200913242006E-4</v>
      </c>
      <c r="AF25" s="9">
        <f t="shared" si="20"/>
        <v>8.3401096724421924E-7</v>
      </c>
      <c r="AG25" s="9">
        <f t="shared" si="21"/>
        <v>-6.9985096422506015</v>
      </c>
      <c r="AH25" s="9">
        <f t="shared" si="22"/>
        <v>-6.3913330066215539E-3</v>
      </c>
      <c r="AI25" s="9">
        <f t="shared" si="23"/>
        <v>-1.65099486919245E-3</v>
      </c>
      <c r="AJ25" s="9">
        <f t="shared" si="24"/>
        <v>6.7608659905015571</v>
      </c>
      <c r="AK25" s="9"/>
      <c r="AL25" s="9"/>
      <c r="AM25" t="s">
        <v>303</v>
      </c>
      <c r="AN25" s="1" t="s">
        <v>11</v>
      </c>
      <c r="AO25" s="2">
        <f t="shared" si="25"/>
        <v>5.056759545923633</v>
      </c>
      <c r="AP25">
        <v>49</v>
      </c>
      <c r="AQ25">
        <v>13</v>
      </c>
      <c r="AR25">
        <v>5</v>
      </c>
      <c r="AS25">
        <v>21</v>
      </c>
      <c r="AT25">
        <v>10</v>
      </c>
      <c r="AW25">
        <f t="shared" si="26"/>
        <v>5.0204918032786885E-2</v>
      </c>
      <c r="AX25">
        <f t="shared" si="27"/>
        <v>2.5205337946788498E-3</v>
      </c>
      <c r="AY25">
        <f t="shared" si="28"/>
        <v>-2.991642288302466</v>
      </c>
      <c r="AZ25">
        <f t="shared" si="29"/>
        <v>-0.15019515586764429</v>
      </c>
      <c r="BA25">
        <f t="shared" si="30"/>
        <v>-3.6536065282034201E-2</v>
      </c>
      <c r="BB25">
        <f t="shared" si="31"/>
        <v>8.7217468765167201</v>
      </c>
      <c r="BE25" t="s">
        <v>303</v>
      </c>
      <c r="BF25" s="1" t="s">
        <v>30</v>
      </c>
      <c r="BG25">
        <v>17</v>
      </c>
      <c r="BH25">
        <f>BG25/BG65*100</f>
        <v>2.0581113801452786</v>
      </c>
      <c r="BI25">
        <v>7</v>
      </c>
      <c r="BJ25">
        <v>7</v>
      </c>
      <c r="BK25">
        <v>1</v>
      </c>
      <c r="BL25">
        <v>2</v>
      </c>
      <c r="BN25">
        <f t="shared" si="6"/>
        <v>2.0481927710843374E-2</v>
      </c>
      <c r="BO25">
        <f t="shared" si="7"/>
        <v>4.1950936275221372E-4</v>
      </c>
      <c r="BP25">
        <f t="shared" si="8"/>
        <v>-3.8882123567344276</v>
      </c>
      <c r="BQ25">
        <f t="shared" si="9"/>
        <v>-7.9638084415042498E-2</v>
      </c>
      <c r="BR25">
        <f t="shared" si="10"/>
        <v>-1.9372543903401318E-2</v>
      </c>
      <c r="BS25">
        <f t="shared" si="11"/>
        <v>8.9298827999525709</v>
      </c>
      <c r="BV25" t="s">
        <v>315</v>
      </c>
      <c r="BW25" s="1" t="s">
        <v>477</v>
      </c>
      <c r="BX25">
        <v>10</v>
      </c>
      <c r="BY25">
        <v>3</v>
      </c>
      <c r="BZ25">
        <v>1</v>
      </c>
      <c r="CA25">
        <f t="shared" si="32"/>
        <v>14</v>
      </c>
      <c r="CB25">
        <f>CA25/CA49*100</f>
        <v>0.15379545204877512</v>
      </c>
      <c r="CC25">
        <f t="shared" si="33"/>
        <v>1.554519209415945E-3</v>
      </c>
      <c r="CD25">
        <f t="shared" si="34"/>
        <v>2.4165299724431744E-6</v>
      </c>
      <c r="CE25">
        <f t="shared" si="35"/>
        <v>-6.4665889712462583</v>
      </c>
      <c r="CF25">
        <f t="shared" si="36"/>
        <v>-1.0052436775199602E-2</v>
      </c>
      <c r="CG25">
        <f t="shared" si="37"/>
        <v>-2.6407481099818045E-3</v>
      </c>
      <c r="CH25">
        <f t="shared" si="38"/>
        <v>4.8264299747314352</v>
      </c>
      <c r="CK25" t="s">
        <v>303</v>
      </c>
      <c r="CL25" s="1" t="s">
        <v>484</v>
      </c>
      <c r="CN25">
        <v>2</v>
      </c>
      <c r="CP25">
        <f t="shared" si="39"/>
        <v>2</v>
      </c>
      <c r="CQ25" s="36">
        <f t="shared" si="40"/>
        <v>0.17921146953405018</v>
      </c>
      <c r="CR25">
        <f t="shared" si="41"/>
        <v>1.7841213202497771E-3</v>
      </c>
      <c r="CS25">
        <f t="shared" si="42"/>
        <v>3.1830888853698077E-6</v>
      </c>
      <c r="CT25">
        <f t="shared" si="43"/>
        <v>-6.3288292425122146</v>
      </c>
      <c r="CU25">
        <f t="shared" si="44"/>
        <v>-1.1291399183786289E-2</v>
      </c>
      <c r="CV25">
        <f t="shared" si="45"/>
        <v>-3.0020734968801742E-3</v>
      </c>
      <c r="CW25">
        <f t="shared" si="46"/>
        <v>5.9850321673386508</v>
      </c>
      <c r="CZ25" t="s">
        <v>315</v>
      </c>
      <c r="DA25" s="1" t="s">
        <v>490</v>
      </c>
      <c r="DC25">
        <v>3</v>
      </c>
      <c r="DE25">
        <f t="shared" si="47"/>
        <v>3</v>
      </c>
      <c r="DF25" s="15">
        <f t="shared" si="48"/>
        <v>0.40431266846361186</v>
      </c>
      <c r="DG25">
        <f t="shared" si="49"/>
        <v>4.0322580645161289E-3</v>
      </c>
      <c r="DH25">
        <f t="shared" si="50"/>
        <v>1.6259105098855357E-5</v>
      </c>
      <c r="DI25">
        <f t="shared" si="51"/>
        <v>-5.5134287461649825</v>
      </c>
      <c r="DJ25">
        <f t="shared" si="52"/>
        <v>-2.2231567524858799E-2</v>
      </c>
      <c r="DK25">
        <f t="shared" si="53"/>
        <v>-5.4987102690800113E-3</v>
      </c>
      <c r="DL25">
        <f t="shared" si="54"/>
        <v>8.4693969237312228</v>
      </c>
      <c r="DN25" t="s">
        <v>305</v>
      </c>
      <c r="DO25" s="1" t="s">
        <v>450</v>
      </c>
      <c r="DP25">
        <v>2</v>
      </c>
      <c r="DQ25">
        <f t="shared" si="55"/>
        <v>0.516795865633075</v>
      </c>
      <c r="DR25">
        <f t="shared" si="56"/>
        <v>5.1679586563307496E-3</v>
      </c>
      <c r="DS25">
        <f t="shared" si="57"/>
        <v>2.6707796673543928E-5</v>
      </c>
      <c r="DT25">
        <f t="shared" si="58"/>
        <v>-5.2652775124698366</v>
      </c>
      <c r="DU25">
        <f t="shared" si="59"/>
        <v>-2.7210736498552129E-2</v>
      </c>
      <c r="DV25">
        <f t="shared" si="60"/>
        <v>-7.5356840440125349E-3</v>
      </c>
      <c r="DW25">
        <f t="shared" si="61"/>
        <v>6.0418654014563815</v>
      </c>
      <c r="DY25" t="s">
        <v>315</v>
      </c>
      <c r="DZ25" s="1" t="s">
        <v>149</v>
      </c>
      <c r="EA25">
        <v>1</v>
      </c>
      <c r="EB25">
        <v>1</v>
      </c>
      <c r="EC25">
        <v>1</v>
      </c>
      <c r="ED25">
        <f t="shared" si="62"/>
        <v>3</v>
      </c>
      <c r="EE25">
        <f t="shared" si="63"/>
        <v>0.25146689019279128</v>
      </c>
      <c r="EF25">
        <f t="shared" si="64"/>
        <v>2.5146689019279128E-3</v>
      </c>
      <c r="EG25">
        <f t="shared" si="65"/>
        <v>6.3235596863233349E-6</v>
      </c>
      <c r="EH25">
        <f t="shared" si="66"/>
        <v>-5.9856141334298067</v>
      </c>
      <c r="EI25">
        <f t="shared" si="67"/>
        <v>-1.5051837720276127E-2</v>
      </c>
      <c r="EJ25">
        <f t="shared" si="68"/>
        <v>-3.8881571062480435E-3</v>
      </c>
      <c r="EK25">
        <f t="shared" si="69"/>
        <v>6.6344576245322022</v>
      </c>
      <c r="EM25" t="s">
        <v>315</v>
      </c>
      <c r="EN25" s="1" t="s">
        <v>149</v>
      </c>
      <c r="EO25">
        <v>3</v>
      </c>
      <c r="EP25">
        <v>6</v>
      </c>
      <c r="EQ25">
        <v>10</v>
      </c>
      <c r="ES25">
        <f t="shared" si="70"/>
        <v>19</v>
      </c>
      <c r="ET25">
        <f t="shared" si="71"/>
        <v>0.23791635361883295</v>
      </c>
      <c r="EU25">
        <f t="shared" si="72"/>
        <v>2.3791635361883295E-3</v>
      </c>
      <c r="EV25">
        <f t="shared" si="73"/>
        <v>5.6604191319281568E-6</v>
      </c>
      <c r="EW25">
        <f t="shared" si="74"/>
        <v>-6.0410063084567263</v>
      </c>
      <c r="EX25">
        <f t="shared" si="75"/>
        <v>-1.4372541930963911E-2</v>
      </c>
      <c r="EY25">
        <f t="shared" si="76"/>
        <v>-3.6930127369810451E-3</v>
      </c>
      <c r="EZ25">
        <f t="shared" si="77"/>
        <v>5.3419723189586055</v>
      </c>
      <c r="FB25" t="s">
        <v>322</v>
      </c>
      <c r="FC25" s="1" t="s">
        <v>473</v>
      </c>
      <c r="FH25">
        <v>1</v>
      </c>
      <c r="FI25">
        <f t="shared" si="79"/>
        <v>1.7702248185519558E-2</v>
      </c>
      <c r="FJ25">
        <f t="shared" si="80"/>
        <v>1.770224818551956E-4</v>
      </c>
      <c r="FK25">
        <f t="shared" si="81"/>
        <v>3.1336959082173057E-8</v>
      </c>
      <c r="FL25">
        <f t="shared" si="82"/>
        <v>-8.6392338173252625</v>
      </c>
      <c r="FM25">
        <f t="shared" si="83"/>
        <v>-1.5293386116702534E-3</v>
      </c>
      <c r="FN25">
        <f t="shared" si="84"/>
        <v>-3.9093292895982777E-4</v>
      </c>
    </row>
    <row r="26" spans="1:170" x14ac:dyDescent="0.25">
      <c r="A26" t="s">
        <v>303</v>
      </c>
      <c r="B26" s="1" t="s">
        <v>410</v>
      </c>
      <c r="C26">
        <v>4</v>
      </c>
      <c r="D26">
        <f>(C26/C32)*100</f>
        <v>0.5</v>
      </c>
      <c r="E26">
        <f t="shared" si="0"/>
        <v>5.0000000000000001E-3</v>
      </c>
      <c r="F26">
        <f t="shared" si="1"/>
        <v>2.5000000000000001E-5</v>
      </c>
      <c r="G26">
        <f t="shared" si="2"/>
        <v>-5.2983173665480363</v>
      </c>
      <c r="H26">
        <f t="shared" si="3"/>
        <v>-2.6491586832740183E-2</v>
      </c>
      <c r="I26">
        <f t="shared" si="4"/>
        <v>-8.0378938369170434E-3</v>
      </c>
      <c r="J26">
        <f t="shared" si="5"/>
        <v>3.8895303211680581</v>
      </c>
      <c r="L26" t="s">
        <v>305</v>
      </c>
      <c r="M26" s="1" t="s">
        <v>54</v>
      </c>
      <c r="N26">
        <v>1</v>
      </c>
      <c r="O26">
        <f>N26/N46*100</f>
        <v>0.10582010582010583</v>
      </c>
      <c r="P26">
        <f t="shared" si="12"/>
        <v>1.0582010582010583E-3</v>
      </c>
      <c r="Q26">
        <f t="shared" si="13"/>
        <v>1.1197894795778394E-6</v>
      </c>
      <c r="R26">
        <f t="shared" si="14"/>
        <v>-6.8511849274937431</v>
      </c>
      <c r="S26">
        <f t="shared" si="15"/>
        <v>-7.2499311402050197E-3</v>
      </c>
      <c r="T26">
        <f t="shared" si="16"/>
        <v>-1.9522796407285378E-3</v>
      </c>
      <c r="U26">
        <f t="shared" si="17"/>
        <v>5.838406118550437</v>
      </c>
      <c r="W26" t="s">
        <v>303</v>
      </c>
      <c r="X26" s="10" t="s">
        <v>7</v>
      </c>
      <c r="Y26">
        <v>50</v>
      </c>
      <c r="Z26">
        <v>64</v>
      </c>
      <c r="AA26">
        <v>27</v>
      </c>
      <c r="AB26">
        <v>33</v>
      </c>
      <c r="AC26" s="9">
        <f>SUM(Y26:AB26)</f>
        <v>174</v>
      </c>
      <c r="AD26" s="9">
        <f t="shared" si="18"/>
        <v>15.890410958904111</v>
      </c>
      <c r="AE26" s="9">
        <f t="shared" si="19"/>
        <v>0.15890410958904111</v>
      </c>
      <c r="AF26" s="9">
        <f t="shared" si="20"/>
        <v>2.5250516044285985E-2</v>
      </c>
      <c r="AG26" s="9">
        <f t="shared" si="21"/>
        <v>-1.8394543430360721</v>
      </c>
      <c r="AH26" s="9">
        <f t="shared" si="22"/>
        <v>-0.29229685450984161</v>
      </c>
      <c r="AI26" s="9">
        <f t="shared" si="23"/>
        <v>-7.5505470701788965E-2</v>
      </c>
      <c r="AJ26" s="9">
        <f t="shared" si="24"/>
        <v>6.7608659905015571</v>
      </c>
      <c r="AK26" s="9"/>
      <c r="AL26" s="9"/>
      <c r="AM26" t="s">
        <v>315</v>
      </c>
      <c r="AN26" s="1" t="s">
        <v>41</v>
      </c>
      <c r="AO26" s="2">
        <f t="shared" si="25"/>
        <v>0.82559339525283792</v>
      </c>
      <c r="AP26">
        <v>8</v>
      </c>
      <c r="AQ26">
        <v>1</v>
      </c>
      <c r="AR26">
        <v>2</v>
      </c>
      <c r="AS26">
        <v>1</v>
      </c>
      <c r="AT26">
        <v>3</v>
      </c>
      <c r="AU26">
        <v>1</v>
      </c>
      <c r="AW26">
        <f t="shared" si="26"/>
        <v>8.1967213114754103E-3</v>
      </c>
      <c r="AX26">
        <f t="shared" si="27"/>
        <v>6.718624025799517E-5</v>
      </c>
      <c r="AY26">
        <f t="shared" si="28"/>
        <v>-4.8040210447332568</v>
      </c>
      <c r="AZ26">
        <f t="shared" si="29"/>
        <v>-3.937722167814145E-2</v>
      </c>
      <c r="BA26">
        <f t="shared" si="30"/>
        <v>-9.5787958908975512E-3</v>
      </c>
      <c r="BB26">
        <f t="shared" si="31"/>
        <v>8.7217468765167201</v>
      </c>
      <c r="BE26" t="s">
        <v>303</v>
      </c>
      <c r="BF26" s="1" t="s">
        <v>28</v>
      </c>
      <c r="BG26">
        <v>14</v>
      </c>
      <c r="BH26">
        <f>BG26/BG65*100</f>
        <v>1.6949152542372881</v>
      </c>
      <c r="BI26">
        <v>1</v>
      </c>
      <c r="BJ26">
        <v>5</v>
      </c>
      <c r="BK26">
        <v>1</v>
      </c>
      <c r="BL26">
        <v>7</v>
      </c>
      <c r="BN26">
        <f t="shared" si="6"/>
        <v>1.6867469879518072E-2</v>
      </c>
      <c r="BO26">
        <f t="shared" si="7"/>
        <v>2.8451154013644944E-4</v>
      </c>
      <c r="BP26">
        <f t="shared" si="8"/>
        <v>-4.0823683711753853</v>
      </c>
      <c r="BQ26">
        <f t="shared" si="9"/>
        <v>-6.8859225537898069E-2</v>
      </c>
      <c r="BR26">
        <f t="shared" si="10"/>
        <v>-1.6750507997341711E-2</v>
      </c>
      <c r="BS26">
        <f t="shared" si="11"/>
        <v>8.9298827999525709</v>
      </c>
      <c r="BV26" t="s">
        <v>315</v>
      </c>
      <c r="BW26" s="18" t="s">
        <v>478</v>
      </c>
      <c r="BX26" s="15">
        <v>3</v>
      </c>
      <c r="BY26" s="15">
        <v>5</v>
      </c>
      <c r="BZ26" s="15">
        <v>15</v>
      </c>
      <c r="CA26" s="15">
        <f t="shared" si="32"/>
        <v>23</v>
      </c>
      <c r="CB26" s="15">
        <f>CA26/CA49*100</f>
        <v>0.25266395693727339</v>
      </c>
      <c r="CC26">
        <f t="shared" si="33"/>
        <v>2.5538529868976236E-3</v>
      </c>
      <c r="CD26">
        <f t="shared" si="34"/>
        <v>6.5221650786859135E-6</v>
      </c>
      <c r="CE26">
        <f t="shared" si="35"/>
        <v>-5.9701520849323675</v>
      </c>
      <c r="CF26">
        <f t="shared" si="36"/>
        <v>-1.5246890734337602E-2</v>
      </c>
      <c r="CG26">
        <f t="shared" si="37"/>
        <v>-4.0053171972326725E-3</v>
      </c>
      <c r="CH26">
        <f t="shared" si="38"/>
        <v>4.8264299747314352</v>
      </c>
      <c r="CK26" t="s">
        <v>315</v>
      </c>
      <c r="CL26" s="1" t="s">
        <v>277</v>
      </c>
      <c r="CM26">
        <v>2</v>
      </c>
      <c r="CN26">
        <v>11</v>
      </c>
      <c r="CO26">
        <v>11</v>
      </c>
      <c r="CP26">
        <f t="shared" si="39"/>
        <v>24</v>
      </c>
      <c r="CQ26" s="15">
        <f t="shared" si="40"/>
        <v>2.1505376344086025</v>
      </c>
      <c r="CR26">
        <f t="shared" si="41"/>
        <v>2.1409455842997322E-2</v>
      </c>
      <c r="CS26">
        <f t="shared" si="42"/>
        <v>4.5836479949325215E-4</v>
      </c>
      <c r="CT26">
        <f t="shared" si="43"/>
        <v>-3.8439225927242142</v>
      </c>
      <c r="CU26">
        <f t="shared" si="44"/>
        <v>-8.2296291012828843E-2</v>
      </c>
      <c r="CV26">
        <f t="shared" si="45"/>
        <v>-2.188032768303089E-2</v>
      </c>
      <c r="CW26">
        <f t="shared" si="46"/>
        <v>5.9850321673386508</v>
      </c>
      <c r="CZ26" t="s">
        <v>315</v>
      </c>
      <c r="DA26" s="1" t="s">
        <v>149</v>
      </c>
      <c r="DB26">
        <v>23</v>
      </c>
      <c r="DD26">
        <v>7</v>
      </c>
      <c r="DE26">
        <f t="shared" si="47"/>
        <v>30</v>
      </c>
      <c r="DF26" s="36">
        <f t="shared" si="48"/>
        <v>4.0431266846361185</v>
      </c>
      <c r="DG26">
        <f t="shared" si="49"/>
        <v>4.0322580645161289E-2</v>
      </c>
      <c r="DH26">
        <f t="shared" si="50"/>
        <v>1.6259105098855359E-3</v>
      </c>
      <c r="DI26">
        <f t="shared" si="51"/>
        <v>-3.2108436531709366</v>
      </c>
      <c r="DJ26">
        <f t="shared" si="52"/>
        <v>-0.12946950214398936</v>
      </c>
      <c r="DK26">
        <f t="shared" si="53"/>
        <v>-3.2022720852939605E-2</v>
      </c>
      <c r="DL26">
        <f t="shared" si="54"/>
        <v>8.4693969237312228</v>
      </c>
      <c r="DN26" t="s">
        <v>315</v>
      </c>
      <c r="DO26" s="1" t="s">
        <v>474</v>
      </c>
      <c r="DP26">
        <v>7</v>
      </c>
      <c r="DQ26" s="15">
        <f t="shared" si="55"/>
        <v>1.8087855297157622</v>
      </c>
      <c r="DR26">
        <f t="shared" si="56"/>
        <v>1.8087855297157621E-2</v>
      </c>
      <c r="DS26">
        <f t="shared" si="57"/>
        <v>3.2717050925091303E-4</v>
      </c>
      <c r="DT26">
        <f t="shared" si="58"/>
        <v>-4.0125145439744685</v>
      </c>
      <c r="DU26">
        <f t="shared" si="59"/>
        <v>-7.2577782449150585E-2</v>
      </c>
      <c r="DV26">
        <f t="shared" si="60"/>
        <v>-2.0099538179754104E-2</v>
      </c>
      <c r="DW26">
        <f t="shared" si="61"/>
        <v>6.0418654014563815</v>
      </c>
      <c r="DY26" t="s">
        <v>322</v>
      </c>
      <c r="DZ26" s="1" t="s">
        <v>473</v>
      </c>
      <c r="EA26">
        <v>14</v>
      </c>
      <c r="EB26">
        <v>15</v>
      </c>
      <c r="EC26">
        <v>9</v>
      </c>
      <c r="ED26">
        <f t="shared" si="62"/>
        <v>38</v>
      </c>
      <c r="EE26">
        <f t="shared" si="63"/>
        <v>3.1852472757753563</v>
      </c>
      <c r="EF26">
        <f t="shared" si="64"/>
        <v>3.1852472757753561E-2</v>
      </c>
      <c r="EG26">
        <f t="shared" si="65"/>
        <v>1.0145800207834327E-3</v>
      </c>
      <c r="EH26">
        <f t="shared" si="66"/>
        <v>-3.4466402623715302</v>
      </c>
      <c r="EI26">
        <f t="shared" si="67"/>
        <v>-0.10978401506296576</v>
      </c>
      <c r="EJ26">
        <f t="shared" si="68"/>
        <v>-2.8359161602207458E-2</v>
      </c>
      <c r="EK26">
        <f t="shared" si="69"/>
        <v>6.6344576245322022</v>
      </c>
      <c r="EM26" t="s">
        <v>322</v>
      </c>
      <c r="EN26" s="1" t="s">
        <v>473</v>
      </c>
      <c r="EO26">
        <v>30</v>
      </c>
      <c r="ES26">
        <f t="shared" si="70"/>
        <v>30</v>
      </c>
      <c r="ET26">
        <f t="shared" si="71"/>
        <v>0.37565740045078888</v>
      </c>
      <c r="EU26">
        <f t="shared" si="72"/>
        <v>3.7565740045078888E-3</v>
      </c>
      <c r="EV26">
        <f t="shared" si="73"/>
        <v>1.4111848251344436E-5</v>
      </c>
      <c r="EW26">
        <f t="shared" si="74"/>
        <v>-5.5842479059610115</v>
      </c>
      <c r="EX26">
        <f t="shared" si="75"/>
        <v>-2.0977640518260749E-2</v>
      </c>
      <c r="EY26">
        <f t="shared" si="76"/>
        <v>-5.3901873445813585E-3</v>
      </c>
      <c r="EZ26">
        <f t="shared" si="77"/>
        <v>5.3419723189586055</v>
      </c>
      <c r="FB26" t="s">
        <v>305</v>
      </c>
      <c r="FC26" s="1" t="s">
        <v>201</v>
      </c>
      <c r="FE26">
        <v>4</v>
      </c>
      <c r="FF26">
        <v>5</v>
      </c>
      <c r="FG26">
        <v>2</v>
      </c>
      <c r="FH26">
        <f t="shared" si="78"/>
        <v>11</v>
      </c>
      <c r="FI26">
        <f t="shared" si="79"/>
        <v>0.19472473004071517</v>
      </c>
      <c r="FJ26">
        <f t="shared" si="80"/>
        <v>1.9472473004071517E-3</v>
      </c>
      <c r="FK26">
        <f t="shared" si="81"/>
        <v>3.79177204894294E-6</v>
      </c>
      <c r="FL26">
        <f t="shared" si="82"/>
        <v>-6.2413385445268919</v>
      </c>
      <c r="FM26">
        <f t="shared" si="83"/>
        <v>-1.2153429631757091E-2</v>
      </c>
      <c r="FN26">
        <f t="shared" si="84"/>
        <v>-3.1066866464981272E-3</v>
      </c>
    </row>
    <row r="27" spans="1:170" x14ac:dyDescent="0.25">
      <c r="A27" t="s">
        <v>303</v>
      </c>
      <c r="B27" t="s">
        <v>107</v>
      </c>
      <c r="C27">
        <v>6</v>
      </c>
      <c r="D27">
        <f>(C27/C32)*100</f>
        <v>0.75</v>
      </c>
      <c r="E27">
        <f t="shared" si="0"/>
        <v>7.4999999999999997E-3</v>
      </c>
      <c r="F27">
        <f t="shared" si="1"/>
        <v>5.6249999999999998E-5</v>
      </c>
      <c r="G27">
        <f t="shared" si="2"/>
        <v>-4.8928522584398726</v>
      </c>
      <c r="H27">
        <f t="shared" si="3"/>
        <v>-3.6696391938299044E-2</v>
      </c>
      <c r="I27">
        <f t="shared" si="4"/>
        <v>-1.113416513930421E-2</v>
      </c>
      <c r="J27">
        <f t="shared" si="5"/>
        <v>3.8895303211680581</v>
      </c>
      <c r="L27" t="s">
        <v>303</v>
      </c>
      <c r="M27" s="1" t="s">
        <v>414</v>
      </c>
      <c r="N27">
        <v>3</v>
      </c>
      <c r="O27">
        <f>N27/N46*100</f>
        <v>0.31746031746031744</v>
      </c>
      <c r="P27">
        <f t="shared" si="12"/>
        <v>3.1746031746031746E-3</v>
      </c>
      <c r="Q27">
        <f t="shared" si="13"/>
        <v>1.0078105316200555E-5</v>
      </c>
      <c r="R27">
        <f t="shared" si="14"/>
        <v>-5.7525726388256331</v>
      </c>
      <c r="S27">
        <f t="shared" si="15"/>
        <v>-1.8262135361351215E-2</v>
      </c>
      <c r="T27">
        <f t="shared" si="16"/>
        <v>-4.9176736127160585E-3</v>
      </c>
      <c r="U27">
        <f t="shared" si="17"/>
        <v>5.838406118550437</v>
      </c>
      <c r="W27" t="s">
        <v>303</v>
      </c>
      <c r="X27" s="1" t="s">
        <v>199</v>
      </c>
      <c r="Y27">
        <v>2</v>
      </c>
      <c r="AC27" s="9">
        <f t="shared" ref="AC27:AC35" si="87">SUM(Y27:AA27)</f>
        <v>2</v>
      </c>
      <c r="AD27" s="9">
        <f t="shared" si="18"/>
        <v>0.18264840182648401</v>
      </c>
      <c r="AE27" s="9">
        <f t="shared" si="19"/>
        <v>1.8264840182648401E-3</v>
      </c>
      <c r="AF27" s="9">
        <f t="shared" si="20"/>
        <v>3.336043868976877E-6</v>
      </c>
      <c r="AG27" s="9">
        <f t="shared" si="21"/>
        <v>-6.3053624616906561</v>
      </c>
      <c r="AH27" s="9">
        <f t="shared" si="22"/>
        <v>-1.1516643765645034E-2</v>
      </c>
      <c r="AI27" s="9">
        <f t="shared" si="23"/>
        <v>-2.9749536986569702E-3</v>
      </c>
      <c r="AJ27" s="9">
        <f t="shared" si="24"/>
        <v>6.7608659905015571</v>
      </c>
      <c r="AK27" s="9"/>
      <c r="AL27" s="9"/>
      <c r="AM27" t="s">
        <v>303</v>
      </c>
      <c r="AN27" s="1" t="s">
        <v>437</v>
      </c>
      <c r="AO27" s="2">
        <f t="shared" si="25"/>
        <v>1.9607843137254901</v>
      </c>
      <c r="AP27">
        <v>19</v>
      </c>
      <c r="AQ27">
        <v>4</v>
      </c>
      <c r="AR27">
        <v>7</v>
      </c>
      <c r="AS27">
        <v>6</v>
      </c>
      <c r="AW27">
        <f t="shared" si="26"/>
        <v>1.9467213114754099E-2</v>
      </c>
      <c r="AX27">
        <f t="shared" si="27"/>
        <v>3.7897238645525402E-4</v>
      </c>
      <c r="AY27">
        <f t="shared" si="28"/>
        <v>-3.9390236072466518</v>
      </c>
      <c r="AZ27">
        <f t="shared" si="29"/>
        <v>-7.6681812026318019E-2</v>
      </c>
      <c r="BA27">
        <f t="shared" si="30"/>
        <v>-1.865340911931351E-2</v>
      </c>
      <c r="BB27">
        <f t="shared" si="31"/>
        <v>8.7217468765167201</v>
      </c>
      <c r="BE27" t="s">
        <v>573</v>
      </c>
      <c r="BF27" s="2" t="s">
        <v>541</v>
      </c>
      <c r="BG27">
        <v>2</v>
      </c>
      <c r="BH27">
        <f>BG27/BG65*100</f>
        <v>0.24213075060532688</v>
      </c>
      <c r="BI27">
        <v>2</v>
      </c>
      <c r="BN27">
        <f t="shared" si="6"/>
        <v>2.4096385542168677E-3</v>
      </c>
      <c r="BO27">
        <f t="shared" si="7"/>
        <v>5.8063579619683563E-6</v>
      </c>
      <c r="BP27">
        <f t="shared" si="8"/>
        <v>-6.0282785202306979</v>
      </c>
      <c r="BQ27">
        <f t="shared" si="9"/>
        <v>-1.4525972337905297E-2</v>
      </c>
      <c r="BR27">
        <f t="shared" si="10"/>
        <v>-3.5335485392778993E-3</v>
      </c>
      <c r="BS27">
        <f t="shared" si="11"/>
        <v>8.9298827999525709</v>
      </c>
      <c r="BV27" t="s">
        <v>303</v>
      </c>
      <c r="BW27" s="1" t="s">
        <v>29</v>
      </c>
      <c r="BX27">
        <v>1</v>
      </c>
      <c r="BZ27">
        <v>2</v>
      </c>
      <c r="CA27">
        <f t="shared" si="32"/>
        <v>3</v>
      </c>
      <c r="CB27">
        <f>CA27/CA49*100</f>
        <v>3.29561682961661E-2</v>
      </c>
      <c r="CC27">
        <f t="shared" si="33"/>
        <v>3.3311125916055963E-4</v>
      </c>
      <c r="CD27">
        <f t="shared" si="34"/>
        <v>1.1096311097953352E-7</v>
      </c>
      <c r="CE27">
        <f t="shared" si="35"/>
        <v>-8.007034012193408</v>
      </c>
      <c r="CF27">
        <f t="shared" si="36"/>
        <v>-2.6672331819431738E-3</v>
      </c>
      <c r="CG27">
        <f t="shared" si="37"/>
        <v>-7.0067498474342155E-4</v>
      </c>
      <c r="CH27">
        <f t="shared" si="38"/>
        <v>4.8264299747314352</v>
      </c>
      <c r="CK27" t="s">
        <v>315</v>
      </c>
      <c r="CL27" s="1" t="s">
        <v>149</v>
      </c>
      <c r="CM27">
        <v>27</v>
      </c>
      <c r="CN27">
        <v>19</v>
      </c>
      <c r="CP27">
        <f t="shared" si="39"/>
        <v>46</v>
      </c>
      <c r="CQ27" s="36">
        <f t="shared" si="40"/>
        <v>4.1218637992831546</v>
      </c>
      <c r="CR27">
        <f t="shared" si="41"/>
        <v>4.1034790365744873E-2</v>
      </c>
      <c r="CS27">
        <f t="shared" si="42"/>
        <v>1.6838540203606284E-3</v>
      </c>
      <c r="CT27">
        <f t="shared" si="43"/>
        <v>-3.1933350265830649</v>
      </c>
      <c r="CU27">
        <f t="shared" si="44"/>
        <v>-0.13103783338342639</v>
      </c>
      <c r="CV27">
        <f t="shared" si="45"/>
        <v>-3.4839367582882017E-2</v>
      </c>
      <c r="CW27">
        <f t="shared" si="46"/>
        <v>5.9850321673386508</v>
      </c>
      <c r="CZ27" t="s">
        <v>322</v>
      </c>
      <c r="DA27" s="1" t="s">
        <v>473</v>
      </c>
      <c r="DB27">
        <v>1</v>
      </c>
      <c r="DC27">
        <v>49</v>
      </c>
      <c r="DD27">
        <v>15</v>
      </c>
      <c r="DE27">
        <f t="shared" si="47"/>
        <v>65</v>
      </c>
      <c r="DF27" s="36">
        <f t="shared" si="48"/>
        <v>8.7601078167115904</v>
      </c>
      <c r="DG27">
        <f t="shared" si="49"/>
        <v>8.7365591397849468E-2</v>
      </c>
      <c r="DH27">
        <f t="shared" si="50"/>
        <v>7.6327465602959886E-3</v>
      </c>
      <c r="DI27">
        <f t="shared" si="51"/>
        <v>-2.4376537649374548</v>
      </c>
      <c r="DJ27">
        <f t="shared" si="52"/>
        <v>-0.21296706279695507</v>
      </c>
      <c r="DK27">
        <f t="shared" si="53"/>
        <v>-5.2674836080181538E-2</v>
      </c>
      <c r="DL27">
        <f t="shared" si="54"/>
        <v>8.4693969237312228</v>
      </c>
      <c r="DN27" t="s">
        <v>303</v>
      </c>
      <c r="DO27" s="1" t="s">
        <v>506</v>
      </c>
      <c r="DP27">
        <v>3</v>
      </c>
      <c r="DQ27">
        <f t="shared" si="55"/>
        <v>0.77519379844961245</v>
      </c>
      <c r="DR27">
        <f t="shared" si="56"/>
        <v>7.7519379844961239E-3</v>
      </c>
      <c r="DS27">
        <f t="shared" si="57"/>
        <v>6.0092542515473829E-5</v>
      </c>
      <c r="DT27">
        <f t="shared" si="58"/>
        <v>-4.8598124043616719</v>
      </c>
      <c r="DU27">
        <f t="shared" si="59"/>
        <v>-3.7672964374896679E-2</v>
      </c>
      <c r="DV27">
        <f t="shared" si="60"/>
        <v>-1.0433071392450819E-2</v>
      </c>
      <c r="DW27">
        <f t="shared" si="61"/>
        <v>6.0418654014563815</v>
      </c>
      <c r="DY27" t="s">
        <v>305</v>
      </c>
      <c r="DZ27" s="1" t="s">
        <v>450</v>
      </c>
      <c r="EA27">
        <v>3</v>
      </c>
      <c r="EB27">
        <v>7</v>
      </c>
      <c r="ED27">
        <f t="shared" si="62"/>
        <v>10</v>
      </c>
      <c r="EE27">
        <f t="shared" si="63"/>
        <v>0.83822296730930423</v>
      </c>
      <c r="EF27">
        <f t="shared" si="64"/>
        <v>8.3822296730930428E-3</v>
      </c>
      <c r="EG27">
        <f t="shared" si="65"/>
        <v>7.0261774292481501E-5</v>
      </c>
      <c r="EH27">
        <f t="shared" si="66"/>
        <v>-4.7816413291038709</v>
      </c>
      <c r="EI27">
        <f t="shared" si="67"/>
        <v>-4.0080815834902521E-2</v>
      </c>
      <c r="EJ27">
        <f t="shared" si="68"/>
        <v>-1.035358683828784E-2</v>
      </c>
      <c r="EK27">
        <f t="shared" si="69"/>
        <v>6.6344576245322022</v>
      </c>
      <c r="EM27" t="s">
        <v>305</v>
      </c>
      <c r="EN27" s="1" t="s">
        <v>450</v>
      </c>
      <c r="EP27">
        <v>2</v>
      </c>
      <c r="ES27">
        <f t="shared" si="70"/>
        <v>2</v>
      </c>
      <c r="ET27">
        <f t="shared" si="71"/>
        <v>2.5043826696719257E-2</v>
      </c>
      <c r="EU27">
        <f t="shared" si="72"/>
        <v>2.5043826696719256E-4</v>
      </c>
      <c r="EV27">
        <f t="shared" si="73"/>
        <v>6.2719325561530813E-8</v>
      </c>
      <c r="EW27">
        <f t="shared" si="74"/>
        <v>-8.2922981070632211</v>
      </c>
      <c r="EX27">
        <f t="shared" si="75"/>
        <v>-2.0767087671082446E-3</v>
      </c>
      <c r="EY27">
        <f t="shared" si="76"/>
        <v>-5.3360859650082777E-4</v>
      </c>
      <c r="EZ27">
        <f t="shared" si="77"/>
        <v>5.3419723189586055</v>
      </c>
      <c r="FB27" t="s">
        <v>303</v>
      </c>
      <c r="FC27" s="1" t="s">
        <v>529</v>
      </c>
      <c r="FF27">
        <v>1</v>
      </c>
      <c r="FH27">
        <f t="shared" si="78"/>
        <v>1</v>
      </c>
      <c r="FI27">
        <f t="shared" si="79"/>
        <v>1.7702248185519558E-2</v>
      </c>
      <c r="FJ27">
        <f t="shared" si="80"/>
        <v>1.770224818551956E-4</v>
      </c>
      <c r="FK27">
        <f t="shared" si="81"/>
        <v>3.1336959082173057E-8</v>
      </c>
      <c r="FL27">
        <f t="shared" si="82"/>
        <v>-8.6392338173252625</v>
      </c>
      <c r="FM27">
        <f t="shared" si="83"/>
        <v>-1.5293386116702534E-3</v>
      </c>
      <c r="FN27">
        <f t="shared" si="84"/>
        <v>-3.9093292895982777E-4</v>
      </c>
    </row>
    <row r="28" spans="1:170" x14ac:dyDescent="0.25">
      <c r="A28" t="s">
        <v>315</v>
      </c>
      <c r="B28" s="1" t="s">
        <v>179</v>
      </c>
      <c r="C28">
        <v>2</v>
      </c>
      <c r="D28" s="15">
        <f>(C28/C32)*100</f>
        <v>0.25</v>
      </c>
      <c r="E28">
        <f t="shared" si="0"/>
        <v>2.5000000000000001E-3</v>
      </c>
      <c r="F28">
        <f t="shared" si="1"/>
        <v>6.2500000000000003E-6</v>
      </c>
      <c r="G28">
        <f t="shared" si="2"/>
        <v>-5.9914645471079817</v>
      </c>
      <c r="H28">
        <f t="shared" si="3"/>
        <v>-1.4978661367769954E-2</v>
      </c>
      <c r="I28">
        <f t="shared" si="4"/>
        <v>-4.5447217131014033E-3</v>
      </c>
      <c r="J28">
        <f t="shared" si="5"/>
        <v>3.8895303211680581</v>
      </c>
      <c r="L28" t="s">
        <v>315</v>
      </c>
      <c r="M28" s="1" t="s">
        <v>56</v>
      </c>
      <c r="N28">
        <v>3</v>
      </c>
      <c r="O28">
        <f>N28/N46*100</f>
        <v>0.31746031746031744</v>
      </c>
      <c r="P28">
        <f t="shared" si="12"/>
        <v>3.1746031746031746E-3</v>
      </c>
      <c r="Q28">
        <f t="shared" si="13"/>
        <v>1.0078105316200555E-5</v>
      </c>
      <c r="R28">
        <f t="shared" si="14"/>
        <v>-5.7525726388256331</v>
      </c>
      <c r="S28">
        <f t="shared" si="15"/>
        <v>-1.8262135361351215E-2</v>
      </c>
      <c r="T28">
        <f t="shared" si="16"/>
        <v>-4.9176736127160585E-3</v>
      </c>
      <c r="U28">
        <f t="shared" si="17"/>
        <v>5.838406118550437</v>
      </c>
      <c r="W28" t="s">
        <v>303</v>
      </c>
      <c r="X28" s="1" t="s">
        <v>9</v>
      </c>
      <c r="Y28">
        <v>2</v>
      </c>
      <c r="AC28" s="9">
        <f t="shared" si="87"/>
        <v>2</v>
      </c>
      <c r="AD28" s="9">
        <f t="shared" si="18"/>
        <v>0.18264840182648401</v>
      </c>
      <c r="AE28" s="9">
        <f t="shared" si="19"/>
        <v>1.8264840182648401E-3</v>
      </c>
      <c r="AF28" s="9">
        <f t="shared" si="20"/>
        <v>3.336043868976877E-6</v>
      </c>
      <c r="AG28" s="9">
        <f t="shared" si="21"/>
        <v>-6.3053624616906561</v>
      </c>
      <c r="AH28" s="9">
        <f t="shared" si="22"/>
        <v>-1.1516643765645034E-2</v>
      </c>
      <c r="AI28" s="9">
        <f t="shared" si="23"/>
        <v>-2.9749536986569702E-3</v>
      </c>
      <c r="AJ28" s="9">
        <f t="shared" si="24"/>
        <v>6.7608659905015571</v>
      </c>
      <c r="AK28" s="9"/>
      <c r="AL28" s="9"/>
      <c r="AM28" t="s">
        <v>315</v>
      </c>
      <c r="AN28" s="1" t="s">
        <v>438</v>
      </c>
      <c r="AO28" s="2">
        <f t="shared" si="25"/>
        <v>0.41279669762641896</v>
      </c>
      <c r="AP28">
        <v>4</v>
      </c>
      <c r="AQ28">
        <v>1</v>
      </c>
      <c r="AR28">
        <v>3</v>
      </c>
      <c r="AW28">
        <f t="shared" si="26"/>
        <v>4.0983606557377051E-3</v>
      </c>
      <c r="AX28">
        <f t="shared" si="27"/>
        <v>1.6796560064498793E-5</v>
      </c>
      <c r="AY28">
        <f t="shared" si="28"/>
        <v>-5.4971682252932021</v>
      </c>
      <c r="AZ28">
        <f t="shared" si="29"/>
        <v>-2.2529377972513125E-2</v>
      </c>
      <c r="BA28">
        <f t="shared" si="30"/>
        <v>-5.4804352351598461E-3</v>
      </c>
      <c r="BB28">
        <f t="shared" si="31"/>
        <v>8.7217468765167201</v>
      </c>
      <c r="BE28" t="s">
        <v>305</v>
      </c>
      <c r="BF28" s="1" t="s">
        <v>461</v>
      </c>
      <c r="BG28">
        <v>10</v>
      </c>
      <c r="BH28">
        <f>BG28/BG65*100</f>
        <v>1.2106537530266344</v>
      </c>
      <c r="BI28">
        <v>4</v>
      </c>
      <c r="BJ28">
        <v>2</v>
      </c>
      <c r="BK28">
        <v>1</v>
      </c>
      <c r="BL28">
        <v>3</v>
      </c>
      <c r="BN28">
        <f t="shared" si="6"/>
        <v>1.2048192771084338E-2</v>
      </c>
      <c r="BO28">
        <f t="shared" si="7"/>
        <v>1.451589490492089E-4</v>
      </c>
      <c r="BP28">
        <f t="shared" si="8"/>
        <v>-4.4188406077965983</v>
      </c>
      <c r="BQ28">
        <f t="shared" si="9"/>
        <v>-5.3239043467428901E-2</v>
      </c>
      <c r="BR28">
        <f t="shared" si="10"/>
        <v>-1.2950784973339281E-2</v>
      </c>
      <c r="BS28">
        <f t="shared" si="11"/>
        <v>8.9298827999525709</v>
      </c>
      <c r="BV28" t="s">
        <v>568</v>
      </c>
      <c r="BW28" s="1" t="s">
        <v>551</v>
      </c>
      <c r="BY28">
        <v>3</v>
      </c>
      <c r="BZ28">
        <v>1</v>
      </c>
      <c r="CA28">
        <f t="shared" si="32"/>
        <v>4</v>
      </c>
      <c r="CB28">
        <f>CA28/CA49*100</f>
        <v>4.3941557728221468E-2</v>
      </c>
      <c r="CC28">
        <f t="shared" si="33"/>
        <v>4.4414834554741284E-4</v>
      </c>
      <c r="CD28">
        <f t="shared" si="34"/>
        <v>1.9726775285250406E-7</v>
      </c>
      <c r="CE28">
        <f t="shared" si="35"/>
        <v>-7.7193519397416264</v>
      </c>
      <c r="CF28">
        <f t="shared" si="36"/>
        <v>-3.4285373927344554E-3</v>
      </c>
      <c r="CG28">
        <f t="shared" si="37"/>
        <v>-9.0066755378182244E-4</v>
      </c>
      <c r="CH28">
        <f t="shared" si="38"/>
        <v>4.8264299747314352</v>
      </c>
      <c r="CK28" t="s">
        <v>305</v>
      </c>
      <c r="CL28" s="1" t="s">
        <v>469</v>
      </c>
      <c r="CN28">
        <v>1</v>
      </c>
      <c r="CP28">
        <f t="shared" si="39"/>
        <v>1</v>
      </c>
      <c r="CQ28" s="36">
        <f t="shared" si="40"/>
        <v>8.9605734767025089E-2</v>
      </c>
      <c r="CR28">
        <f t="shared" si="41"/>
        <v>8.9206066012488853E-4</v>
      </c>
      <c r="CS28">
        <f t="shared" si="42"/>
        <v>7.9577222134245192E-7</v>
      </c>
      <c r="CT28">
        <f t="shared" si="43"/>
        <v>-7.02197642307216</v>
      </c>
      <c r="CU28">
        <f t="shared" si="44"/>
        <v>-6.2640289233471544E-3</v>
      </c>
      <c r="CV28">
        <f t="shared" si="45"/>
        <v>-1.6654335665923674E-3</v>
      </c>
      <c r="CW28">
        <f t="shared" si="46"/>
        <v>5.9850321673386508</v>
      </c>
      <c r="CZ28" t="s">
        <v>305</v>
      </c>
      <c r="DA28" s="1" t="s">
        <v>450</v>
      </c>
      <c r="DB28">
        <v>5</v>
      </c>
      <c r="DC28">
        <v>2</v>
      </c>
      <c r="DD28">
        <v>17</v>
      </c>
      <c r="DE28">
        <f t="shared" si="47"/>
        <v>24</v>
      </c>
      <c r="DF28" s="36">
        <f t="shared" si="48"/>
        <v>3.2345013477088949</v>
      </c>
      <c r="DG28">
        <f t="shared" si="49"/>
        <v>3.2258064516129031E-2</v>
      </c>
      <c r="DH28">
        <f t="shared" si="50"/>
        <v>1.0405827263267429E-3</v>
      </c>
      <c r="DI28">
        <f t="shared" si="51"/>
        <v>-3.4339872044851463</v>
      </c>
      <c r="DJ28">
        <f t="shared" si="52"/>
        <v>-0.11077378078984343</v>
      </c>
      <c r="DK28">
        <f t="shared" si="53"/>
        <v>-2.7398559516454916E-2</v>
      </c>
      <c r="DL28">
        <f t="shared" si="54"/>
        <v>8.4693969237312228</v>
      </c>
      <c r="DN28" t="s">
        <v>315</v>
      </c>
      <c r="DO28" t="s">
        <v>327</v>
      </c>
      <c r="DP28">
        <v>1</v>
      </c>
      <c r="DQ28" s="15">
        <f t="shared" si="55"/>
        <v>0.2583979328165375</v>
      </c>
      <c r="DR28">
        <f t="shared" si="56"/>
        <v>2.5839793281653748E-3</v>
      </c>
      <c r="DS28">
        <f t="shared" si="57"/>
        <v>6.6769491683859819E-6</v>
      </c>
      <c r="DT28">
        <f t="shared" si="58"/>
        <v>-5.9584246930297819</v>
      </c>
      <c r="DU28">
        <f t="shared" si="59"/>
        <v>-1.5396446235219076E-2</v>
      </c>
      <c r="DV28">
        <f t="shared" si="60"/>
        <v>-4.2638593863643043E-3</v>
      </c>
      <c r="DW28">
        <f t="shared" si="61"/>
        <v>6.0418654014563815</v>
      </c>
      <c r="DY28" t="s">
        <v>315</v>
      </c>
      <c r="DZ28" s="1" t="s">
        <v>474</v>
      </c>
      <c r="EB28">
        <v>2</v>
      </c>
      <c r="EC28">
        <v>1</v>
      </c>
      <c r="ED28">
        <f t="shared" si="62"/>
        <v>3</v>
      </c>
      <c r="EE28" s="15">
        <f t="shared" si="63"/>
        <v>0.25146689019279128</v>
      </c>
      <c r="EF28">
        <f t="shared" si="64"/>
        <v>2.5146689019279128E-3</v>
      </c>
      <c r="EG28">
        <f t="shared" si="65"/>
        <v>6.3235596863233349E-6</v>
      </c>
      <c r="EH28">
        <f t="shared" si="66"/>
        <v>-5.9856141334298067</v>
      </c>
      <c r="EI28">
        <f t="shared" si="67"/>
        <v>-1.5051837720276127E-2</v>
      </c>
      <c r="EJ28">
        <f t="shared" si="68"/>
        <v>-3.8881571062480435E-3</v>
      </c>
      <c r="EK28">
        <f t="shared" si="69"/>
        <v>6.6344576245322022</v>
      </c>
      <c r="EM28" t="s">
        <v>315</v>
      </c>
      <c r="EN28" s="1" t="s">
        <v>474</v>
      </c>
      <c r="EO28">
        <v>2</v>
      </c>
      <c r="EQ28">
        <v>3</v>
      </c>
      <c r="ER28">
        <v>3</v>
      </c>
      <c r="ES28">
        <f t="shared" si="70"/>
        <v>8</v>
      </c>
      <c r="ET28" s="15">
        <f t="shared" si="71"/>
        <v>0.10017530678687703</v>
      </c>
      <c r="EU28">
        <f t="shared" si="72"/>
        <v>1.0017530678687703E-3</v>
      </c>
      <c r="EV28">
        <f t="shared" si="73"/>
        <v>1.003509208984493E-6</v>
      </c>
      <c r="EW28">
        <f t="shared" si="74"/>
        <v>-6.9060037459433312</v>
      </c>
      <c r="EX28">
        <f t="shared" si="75"/>
        <v>-6.9181104392119514E-3</v>
      </c>
      <c r="EY28">
        <f t="shared" si="76"/>
        <v>-1.777602743520945E-3</v>
      </c>
      <c r="EZ28">
        <f t="shared" si="77"/>
        <v>5.3419723189586055</v>
      </c>
      <c r="FB28" t="s">
        <v>303</v>
      </c>
      <c r="FC28" t="s">
        <v>234</v>
      </c>
      <c r="FF28">
        <v>1</v>
      </c>
      <c r="FG28">
        <v>1</v>
      </c>
      <c r="FH28">
        <f t="shared" si="78"/>
        <v>2</v>
      </c>
      <c r="FI28">
        <f t="shared" si="79"/>
        <v>3.5404496371039117E-2</v>
      </c>
      <c r="FJ28">
        <f t="shared" si="80"/>
        <v>3.5404496371039119E-4</v>
      </c>
      <c r="FK28">
        <f t="shared" si="81"/>
        <v>1.2534783632869223E-7</v>
      </c>
      <c r="FL28">
        <f t="shared" si="82"/>
        <v>-7.9460866367653171</v>
      </c>
      <c r="FM28">
        <f t="shared" si="83"/>
        <v>-2.8132719549532012E-3</v>
      </c>
      <c r="FN28">
        <f t="shared" si="84"/>
        <v>-7.1913481874969355E-4</v>
      </c>
    </row>
    <row r="29" spans="1:170" x14ac:dyDescent="0.25">
      <c r="A29" t="s">
        <v>568</v>
      </c>
      <c r="B29" s="1" t="s">
        <v>67</v>
      </c>
      <c r="C29">
        <v>1</v>
      </c>
      <c r="D29">
        <f>(C29/C32)*100</f>
        <v>0.125</v>
      </c>
      <c r="E29">
        <f t="shared" si="0"/>
        <v>1.25E-3</v>
      </c>
      <c r="F29">
        <f t="shared" si="1"/>
        <v>1.5625000000000001E-6</v>
      </c>
      <c r="G29">
        <f t="shared" si="2"/>
        <v>-6.6846117276679271</v>
      </c>
      <c r="H29">
        <f t="shared" si="3"/>
        <v>-8.3557646595849092E-3</v>
      </c>
      <c r="I29">
        <f t="shared" si="4"/>
        <v>-2.5352482538721424E-3</v>
      </c>
      <c r="J29">
        <f t="shared" si="5"/>
        <v>3.8895303211680581</v>
      </c>
      <c r="L29" t="s">
        <v>303</v>
      </c>
      <c r="M29" s="1" t="s">
        <v>134</v>
      </c>
      <c r="N29">
        <v>14</v>
      </c>
      <c r="O29">
        <f>N29/N46*100</f>
        <v>1.4814814814814816</v>
      </c>
      <c r="P29">
        <f t="shared" si="12"/>
        <v>1.4814814814814815E-2</v>
      </c>
      <c r="Q29">
        <f t="shared" si="13"/>
        <v>2.1947873799725654E-4</v>
      </c>
      <c r="R29">
        <f t="shared" si="14"/>
        <v>-4.2121275978784842</v>
      </c>
      <c r="S29">
        <f t="shared" si="15"/>
        <v>-6.2401890338940509E-2</v>
      </c>
      <c r="T29">
        <f>S29/LN(41)</f>
        <v>-1.6803737538428992E-2</v>
      </c>
      <c r="U29">
        <f t="shared" si="17"/>
        <v>5.838406118550437</v>
      </c>
      <c r="W29" t="s">
        <v>571</v>
      </c>
      <c r="X29" t="s">
        <v>538</v>
      </c>
      <c r="Y29">
        <v>4</v>
      </c>
      <c r="AC29" s="9">
        <f t="shared" si="87"/>
        <v>4</v>
      </c>
      <c r="AD29" s="9">
        <f t="shared" si="18"/>
        <v>0.36529680365296802</v>
      </c>
      <c r="AE29" s="9">
        <f t="shared" si="19"/>
        <v>3.6529680365296802E-3</v>
      </c>
      <c r="AF29" s="9">
        <f t="shared" si="20"/>
        <v>1.3344175475907508E-5</v>
      </c>
      <c r="AG29" s="9">
        <f t="shared" si="21"/>
        <v>-5.6122152811307107</v>
      </c>
      <c r="AH29" s="9">
        <f t="shared" si="22"/>
        <v>-2.0501243036093918E-2</v>
      </c>
      <c r="AI29" s="9">
        <f t="shared" si="23"/>
        <v>-5.2958353178580815E-3</v>
      </c>
      <c r="AJ29" s="9">
        <f t="shared" si="24"/>
        <v>6.7608659905015571</v>
      </c>
      <c r="AK29" s="9"/>
      <c r="AL29" s="9"/>
      <c r="AM29" t="s">
        <v>303</v>
      </c>
      <c r="AN29" s="1" t="s">
        <v>439</v>
      </c>
      <c r="AO29" s="2">
        <f t="shared" si="25"/>
        <v>0.61919504643962853</v>
      </c>
      <c r="AP29">
        <v>6</v>
      </c>
      <c r="AQ29">
        <v>2</v>
      </c>
      <c r="AR29">
        <v>3</v>
      </c>
      <c r="AW29">
        <f t="shared" si="26"/>
        <v>6.1475409836065573E-3</v>
      </c>
      <c r="AX29">
        <f t="shared" si="27"/>
        <v>3.7792260145122275E-5</v>
      </c>
      <c r="AY29">
        <f t="shared" si="28"/>
        <v>-5.0917031171850375</v>
      </c>
      <c r="AZ29">
        <f t="shared" si="29"/>
        <v>-3.1301453589252279E-2</v>
      </c>
      <c r="BA29">
        <f t="shared" si="30"/>
        <v>-7.6143065011183312E-3</v>
      </c>
      <c r="BB29">
        <f t="shared" si="31"/>
        <v>8.7217468765167201</v>
      </c>
      <c r="BE29" t="s">
        <v>571</v>
      </c>
      <c r="BF29" s="2" t="s">
        <v>538</v>
      </c>
      <c r="BG29">
        <v>5</v>
      </c>
      <c r="BH29">
        <f>BG29/BG65*100</f>
        <v>0.60532687651331718</v>
      </c>
      <c r="BI29">
        <v>1</v>
      </c>
      <c r="BN29">
        <f t="shared" si="6"/>
        <v>6.024096385542169E-3</v>
      </c>
      <c r="BO29">
        <f t="shared" si="7"/>
        <v>3.6289737262302225E-5</v>
      </c>
      <c r="BP29">
        <f t="shared" si="8"/>
        <v>-5.1119877883565428</v>
      </c>
      <c r="BQ29">
        <f t="shared" si="9"/>
        <v>-3.0795107158774357E-2</v>
      </c>
      <c r="BR29">
        <f t="shared" si="10"/>
        <v>-7.491134045040127E-3</v>
      </c>
      <c r="BS29">
        <f t="shared" si="11"/>
        <v>8.9298827999525709</v>
      </c>
      <c r="BV29" t="s">
        <v>303</v>
      </c>
      <c r="BW29" s="1" t="s">
        <v>463</v>
      </c>
      <c r="BY29">
        <v>2</v>
      </c>
      <c r="CA29">
        <f t="shared" si="32"/>
        <v>2</v>
      </c>
      <c r="CB29">
        <f>CA29/CA49*100</f>
        <v>2.1970778864110734E-2</v>
      </c>
      <c r="CC29">
        <f t="shared" si="33"/>
        <v>2.2207417277370642E-4</v>
      </c>
      <c r="CD29">
        <f t="shared" si="34"/>
        <v>4.9316938213126014E-8</v>
      </c>
      <c r="CE29">
        <f t="shared" si="35"/>
        <v>-8.4124991203015718</v>
      </c>
      <c r="CF29">
        <f t="shared" si="36"/>
        <v>-1.8681987831005045E-3</v>
      </c>
      <c r="CG29">
        <f t="shared" si="37"/>
        <v>-4.9077079675987375E-4</v>
      </c>
      <c r="CH29">
        <f t="shared" si="38"/>
        <v>4.8264299747314352</v>
      </c>
      <c r="CK29" t="s">
        <v>326</v>
      </c>
      <c r="CL29" s="1" t="s">
        <v>473</v>
      </c>
      <c r="CM29">
        <v>16</v>
      </c>
      <c r="CN29">
        <v>12</v>
      </c>
      <c r="CO29">
        <v>19</v>
      </c>
      <c r="CP29">
        <f t="shared" si="39"/>
        <v>47</v>
      </c>
      <c r="CQ29" s="36">
        <f t="shared" si="40"/>
        <v>4.2114695340501793</v>
      </c>
      <c r="CR29">
        <f t="shared" si="41"/>
        <v>4.1926851025869759E-2</v>
      </c>
      <c r="CS29">
        <f t="shared" si="42"/>
        <v>1.757860836945476E-3</v>
      </c>
      <c r="CT29">
        <f t="shared" si="43"/>
        <v>-3.1718288213621015</v>
      </c>
      <c r="CU29">
        <f t="shared" si="44"/>
        <v>-0.13298479447280889</v>
      </c>
      <c r="CV29">
        <f t="shared" si="45"/>
        <v>-3.5357011161924468E-2</v>
      </c>
      <c r="CW29">
        <f t="shared" si="46"/>
        <v>5.9850321673386508</v>
      </c>
      <c r="CZ29" t="s">
        <v>315</v>
      </c>
      <c r="DA29" s="1" t="s">
        <v>474</v>
      </c>
      <c r="DD29">
        <v>2</v>
      </c>
      <c r="DE29">
        <f t="shared" si="47"/>
        <v>2</v>
      </c>
      <c r="DF29" s="15">
        <f t="shared" si="48"/>
        <v>0.26954177897574128</v>
      </c>
      <c r="DG29">
        <f t="shared" si="49"/>
        <v>2.6881720430107529E-3</v>
      </c>
      <c r="DH29">
        <f t="shared" si="50"/>
        <v>7.2262689328246053E-6</v>
      </c>
      <c r="DI29">
        <f t="shared" si="51"/>
        <v>-5.9188938542731462</v>
      </c>
      <c r="DJ29">
        <f t="shared" si="52"/>
        <v>-1.5911004984605234E-2</v>
      </c>
      <c r="DK29">
        <f t="shared" si="53"/>
        <v>-3.9353953068042924E-3</v>
      </c>
      <c r="DL29">
        <f t="shared" si="54"/>
        <v>8.4693969237312228</v>
      </c>
      <c r="DN29" t="s">
        <v>571</v>
      </c>
      <c r="DO29" t="s">
        <v>175</v>
      </c>
      <c r="DP29">
        <v>2</v>
      </c>
      <c r="DQ29">
        <f t="shared" si="55"/>
        <v>0.516795865633075</v>
      </c>
      <c r="DR29">
        <f t="shared" si="56"/>
        <v>5.1679586563307496E-3</v>
      </c>
      <c r="DS29">
        <f t="shared" si="57"/>
        <v>2.6707796673543928E-5</v>
      </c>
      <c r="DT29">
        <f t="shared" si="58"/>
        <v>-5.2652775124698366</v>
      </c>
      <c r="DU29">
        <f t="shared" si="59"/>
        <v>-2.7210736498552129E-2</v>
      </c>
      <c r="DV29">
        <f t="shared" si="60"/>
        <v>-7.5356840440125349E-3</v>
      </c>
      <c r="DW29">
        <f t="shared" si="61"/>
        <v>6.0418654014563815</v>
      </c>
      <c r="DY29" t="s">
        <v>305</v>
      </c>
      <c r="DZ29" t="s">
        <v>233</v>
      </c>
      <c r="EB29">
        <v>1</v>
      </c>
      <c r="EC29">
        <v>1</v>
      </c>
      <c r="ED29">
        <f t="shared" si="62"/>
        <v>2</v>
      </c>
      <c r="EE29">
        <f t="shared" si="63"/>
        <v>0.16764459346186086</v>
      </c>
      <c r="EF29">
        <f t="shared" si="64"/>
        <v>1.6764459346186086E-3</v>
      </c>
      <c r="EG29">
        <f t="shared" si="65"/>
        <v>2.8104709716992599E-6</v>
      </c>
      <c r="EH29">
        <f t="shared" si="66"/>
        <v>-6.3910792415379705</v>
      </c>
      <c r="EI29">
        <f t="shared" si="67"/>
        <v>-1.0714298812301711E-2</v>
      </c>
      <c r="EJ29">
        <f t="shared" si="68"/>
        <v>-2.7676937421001928E-3</v>
      </c>
      <c r="EK29">
        <f t="shared" si="69"/>
        <v>6.6344576245322022</v>
      </c>
      <c r="EM29" t="s">
        <v>303</v>
      </c>
      <c r="EN29" s="1" t="s">
        <v>506</v>
      </c>
      <c r="EO29">
        <v>2</v>
      </c>
      <c r="EP29">
        <v>1</v>
      </c>
      <c r="EQ29">
        <v>3</v>
      </c>
      <c r="ER29">
        <v>3</v>
      </c>
      <c r="ES29">
        <f t="shared" si="70"/>
        <v>9</v>
      </c>
      <c r="ET29">
        <f t="shared" si="71"/>
        <v>0.11269722013523666</v>
      </c>
      <c r="EU29">
        <f t="shared" si="72"/>
        <v>1.1269722013523666E-3</v>
      </c>
      <c r="EV29">
        <f t="shared" si="73"/>
        <v>1.270066342620999E-6</v>
      </c>
      <c r="EW29">
        <f t="shared" si="74"/>
        <v>-6.7882207102869474</v>
      </c>
      <c r="EX29">
        <f t="shared" si="75"/>
        <v>-7.6501360371378068E-3</v>
      </c>
      <c r="EY29">
        <f t="shared" si="76"/>
        <v>-1.9656961141941063E-3</v>
      </c>
      <c r="EZ29">
        <f t="shared" si="77"/>
        <v>5.3419723189586055</v>
      </c>
      <c r="FB29" t="s">
        <v>567</v>
      </c>
      <c r="FC29" t="s">
        <v>175</v>
      </c>
      <c r="FD29">
        <v>2</v>
      </c>
      <c r="FE29">
        <v>3</v>
      </c>
      <c r="FF29">
        <v>3</v>
      </c>
      <c r="FG29">
        <v>1</v>
      </c>
      <c r="FH29">
        <f t="shared" si="78"/>
        <v>9</v>
      </c>
      <c r="FI29">
        <f t="shared" si="79"/>
        <v>0.15932023366967604</v>
      </c>
      <c r="FJ29">
        <f t="shared" si="80"/>
        <v>1.5932023366967605E-3</v>
      </c>
      <c r="FK29">
        <f t="shared" si="81"/>
        <v>2.5382936856560179E-6</v>
      </c>
      <c r="FL29">
        <f t="shared" si="82"/>
        <v>-6.4420092399890425</v>
      </c>
      <c r="FM29">
        <f t="shared" si="83"/>
        <v>-1.0263424174172664E-2</v>
      </c>
      <c r="FN29">
        <f t="shared" si="84"/>
        <v>-2.6235592581975112E-3</v>
      </c>
    </row>
    <row r="30" spans="1:170" x14ac:dyDescent="0.25">
      <c r="A30" t="s">
        <v>315</v>
      </c>
      <c r="B30" s="1" t="s">
        <v>130</v>
      </c>
      <c r="C30">
        <v>3</v>
      </c>
      <c r="D30">
        <f>(C30/C32)*100</f>
        <v>0.375</v>
      </c>
      <c r="E30">
        <f t="shared" si="0"/>
        <v>3.7499999999999999E-3</v>
      </c>
      <c r="F30">
        <f t="shared" si="1"/>
        <v>1.40625E-5</v>
      </c>
      <c r="G30">
        <f t="shared" si="2"/>
        <v>-5.585999438999818</v>
      </c>
      <c r="H30">
        <f t="shared" si="3"/>
        <v>-2.0947497896249317E-2</v>
      </c>
      <c r="I30">
        <f t="shared" si="4"/>
        <v>-6.355744761616427E-3</v>
      </c>
      <c r="J30">
        <f t="shared" si="5"/>
        <v>3.8895303211680581</v>
      </c>
      <c r="L30" t="s">
        <v>303</v>
      </c>
      <c r="M30" s="1" t="s">
        <v>418</v>
      </c>
      <c r="N30">
        <v>3</v>
      </c>
      <c r="O30">
        <f>N30/N46*100</f>
        <v>0.31746031746031744</v>
      </c>
      <c r="P30">
        <f t="shared" si="12"/>
        <v>3.1746031746031746E-3</v>
      </c>
      <c r="Q30">
        <f t="shared" si="13"/>
        <v>1.0078105316200555E-5</v>
      </c>
      <c r="R30">
        <f t="shared" si="14"/>
        <v>-5.7525726388256331</v>
      </c>
      <c r="S30">
        <f t="shared" si="15"/>
        <v>-1.8262135361351215E-2</v>
      </c>
      <c r="T30">
        <f t="shared" si="16"/>
        <v>-4.9176736127160585E-3</v>
      </c>
      <c r="U30">
        <f t="shared" si="17"/>
        <v>5.838406118550437</v>
      </c>
      <c r="W30" t="s">
        <v>305</v>
      </c>
      <c r="X30" s="1" t="s">
        <v>201</v>
      </c>
      <c r="Y30">
        <v>1</v>
      </c>
      <c r="Z30">
        <v>1</v>
      </c>
      <c r="AC30" s="9">
        <f t="shared" si="87"/>
        <v>2</v>
      </c>
      <c r="AD30" s="9">
        <f t="shared" si="18"/>
        <v>0.18264840182648401</v>
      </c>
      <c r="AE30" s="9">
        <f t="shared" si="19"/>
        <v>1.8264840182648401E-3</v>
      </c>
      <c r="AF30" s="9">
        <f t="shared" si="20"/>
        <v>3.336043868976877E-6</v>
      </c>
      <c r="AG30" s="9">
        <f t="shared" si="21"/>
        <v>-6.3053624616906561</v>
      </c>
      <c r="AH30" s="9">
        <f t="shared" si="22"/>
        <v>-1.1516643765645034E-2</v>
      </c>
      <c r="AI30" s="9">
        <f t="shared" si="23"/>
        <v>-2.9749536986569702E-3</v>
      </c>
      <c r="AJ30" s="9">
        <f t="shared" si="24"/>
        <v>6.7608659905015571</v>
      </c>
      <c r="AK30" s="9"/>
      <c r="AL30" s="9"/>
      <c r="AM30" t="s">
        <v>571</v>
      </c>
      <c r="AN30" s="2" t="s">
        <v>538</v>
      </c>
      <c r="AO30" s="2">
        <f t="shared" si="25"/>
        <v>0.51599587203302377</v>
      </c>
      <c r="AP30">
        <v>5</v>
      </c>
      <c r="AQ30">
        <v>4</v>
      </c>
      <c r="AW30">
        <f t="shared" si="26"/>
        <v>5.1229508196721308E-3</v>
      </c>
      <c r="AX30">
        <f t="shared" si="27"/>
        <v>2.6244625100779358E-5</v>
      </c>
      <c r="AY30">
        <f t="shared" si="28"/>
        <v>-5.2740246739789924</v>
      </c>
      <c r="AZ30">
        <f t="shared" si="29"/>
        <v>-2.701856902653172E-2</v>
      </c>
      <c r="BA30">
        <f t="shared" si="30"/>
        <v>-6.5724636462337919E-3</v>
      </c>
      <c r="BB30">
        <f t="shared" si="31"/>
        <v>8.7217468765167201</v>
      </c>
      <c r="BE30" t="s">
        <v>303</v>
      </c>
      <c r="BF30" s="1" t="s">
        <v>414</v>
      </c>
      <c r="BG30">
        <v>6</v>
      </c>
      <c r="BH30">
        <f>BG30/BG65*100</f>
        <v>0.72639225181598066</v>
      </c>
      <c r="BI30">
        <v>4</v>
      </c>
      <c r="BJ30">
        <v>1</v>
      </c>
      <c r="BK30">
        <v>1</v>
      </c>
      <c r="BN30">
        <f t="shared" si="6"/>
        <v>7.2289156626506026E-3</v>
      </c>
      <c r="BO30">
        <f t="shared" si="7"/>
        <v>5.2257221657715204E-5</v>
      </c>
      <c r="BP30">
        <f t="shared" si="8"/>
        <v>-4.9296662315625888</v>
      </c>
      <c r="BQ30">
        <f t="shared" si="9"/>
        <v>-3.563614143298257E-2</v>
      </c>
      <c r="BR30">
        <f t="shared" si="10"/>
        <v>-8.6687508813041454E-3</v>
      </c>
      <c r="BS30">
        <f t="shared" si="11"/>
        <v>8.9298827999525709</v>
      </c>
      <c r="BV30" t="s">
        <v>303</v>
      </c>
      <c r="BW30" s="1" t="s">
        <v>467</v>
      </c>
      <c r="BZ30">
        <v>2</v>
      </c>
      <c r="CA30">
        <f t="shared" si="32"/>
        <v>2</v>
      </c>
      <c r="CB30">
        <f>CA30/CA49*100</f>
        <v>2.1970778864110734E-2</v>
      </c>
      <c r="CC30">
        <f t="shared" si="33"/>
        <v>2.2207417277370642E-4</v>
      </c>
      <c r="CD30">
        <f t="shared" si="34"/>
        <v>4.9316938213126014E-8</v>
      </c>
      <c r="CE30">
        <f t="shared" si="35"/>
        <v>-8.4124991203015718</v>
      </c>
      <c r="CF30">
        <f t="shared" si="36"/>
        <v>-1.8681987831005045E-3</v>
      </c>
      <c r="CG30">
        <f t="shared" si="37"/>
        <v>-4.9077079675987375E-4</v>
      </c>
      <c r="CH30">
        <f t="shared" si="38"/>
        <v>4.8264299747314352</v>
      </c>
      <c r="CK30" t="s">
        <v>305</v>
      </c>
      <c r="CL30" s="1" t="s">
        <v>485</v>
      </c>
      <c r="CM30">
        <v>2</v>
      </c>
      <c r="CN30">
        <v>2</v>
      </c>
      <c r="CO30">
        <v>3</v>
      </c>
      <c r="CP30">
        <f t="shared" si="39"/>
        <v>7</v>
      </c>
      <c r="CQ30" s="36">
        <f t="shared" si="40"/>
        <v>0.62724014336917566</v>
      </c>
      <c r="CR30">
        <f t="shared" si="41"/>
        <v>6.2444246208742194E-3</v>
      </c>
      <c r="CS30">
        <f t="shared" si="42"/>
        <v>3.8992838845780139E-5</v>
      </c>
      <c r="CT30">
        <f t="shared" si="43"/>
        <v>-5.0760662740168465</v>
      </c>
      <c r="CU30">
        <f t="shared" si="44"/>
        <v>-3.1697113218660061E-2</v>
      </c>
      <c r="CV30">
        <f t="shared" si="45"/>
        <v>-8.4273934498736817E-3</v>
      </c>
      <c r="CW30">
        <f t="shared" si="46"/>
        <v>5.9850321673386508</v>
      </c>
      <c r="CZ30" t="s">
        <v>303</v>
      </c>
      <c r="DA30" s="1" t="s">
        <v>465</v>
      </c>
      <c r="DD30">
        <v>2</v>
      </c>
      <c r="DE30">
        <f t="shared" si="47"/>
        <v>2</v>
      </c>
      <c r="DF30" s="36">
        <f t="shared" si="48"/>
        <v>0.26954177897574128</v>
      </c>
      <c r="DG30">
        <f t="shared" si="49"/>
        <v>2.6881720430107529E-3</v>
      </c>
      <c r="DH30">
        <f t="shared" si="50"/>
        <v>7.2262689328246053E-6</v>
      </c>
      <c r="DI30">
        <f t="shared" si="51"/>
        <v>-5.9188938542731462</v>
      </c>
      <c r="DJ30">
        <f t="shared" si="52"/>
        <v>-1.5911004984605234E-2</v>
      </c>
      <c r="DK30">
        <f t="shared" si="53"/>
        <v>-3.9353953068042924E-3</v>
      </c>
      <c r="DL30">
        <f t="shared" si="54"/>
        <v>8.4693969237312228</v>
      </c>
      <c r="DN30" t="s">
        <v>303</v>
      </c>
      <c r="DO30" s="1" t="s">
        <v>527</v>
      </c>
      <c r="DP30">
        <v>1</v>
      </c>
      <c r="DQ30">
        <f t="shared" si="55"/>
        <v>0.2583979328165375</v>
      </c>
      <c r="DR30">
        <f t="shared" si="56"/>
        <v>2.5839793281653748E-3</v>
      </c>
      <c r="DS30">
        <f t="shared" si="57"/>
        <v>6.6769491683859819E-6</v>
      </c>
      <c r="DT30">
        <f t="shared" si="58"/>
        <v>-5.9584246930297819</v>
      </c>
      <c r="DU30">
        <f t="shared" si="59"/>
        <v>-1.5396446235219076E-2</v>
      </c>
      <c r="DV30">
        <f t="shared" si="60"/>
        <v>-4.2638593863643043E-3</v>
      </c>
      <c r="DW30">
        <f t="shared" si="61"/>
        <v>6.0418654014563815</v>
      </c>
      <c r="DY30" t="s">
        <v>303</v>
      </c>
      <c r="DZ30" t="s">
        <v>234</v>
      </c>
      <c r="EA30">
        <v>1</v>
      </c>
      <c r="ED30">
        <f t="shared" si="62"/>
        <v>1</v>
      </c>
      <c r="EE30">
        <f t="shared" si="63"/>
        <v>8.3822296730930432E-2</v>
      </c>
      <c r="EF30">
        <f t="shared" si="64"/>
        <v>8.3822296730930428E-4</v>
      </c>
      <c r="EG30">
        <f t="shared" si="65"/>
        <v>7.0261774292481497E-7</v>
      </c>
      <c r="EH30">
        <f t="shared" si="66"/>
        <v>-7.0842264220979159</v>
      </c>
      <c r="EI30">
        <f t="shared" si="67"/>
        <v>-5.9381612926218911E-3</v>
      </c>
      <c r="EJ30">
        <f t="shared" si="68"/>
        <v>-1.5339325640518077E-3</v>
      </c>
      <c r="EK30">
        <f t="shared" si="69"/>
        <v>6.6344576245322022</v>
      </c>
      <c r="EM30" t="s">
        <v>303</v>
      </c>
      <c r="EN30" t="s">
        <v>234</v>
      </c>
      <c r="ER30">
        <v>2</v>
      </c>
      <c r="ES30">
        <f t="shared" si="70"/>
        <v>2</v>
      </c>
      <c r="ET30">
        <f t="shared" si="71"/>
        <v>2.5043826696719257E-2</v>
      </c>
      <c r="EU30">
        <f t="shared" si="72"/>
        <v>2.5043826696719256E-4</v>
      </c>
      <c r="EV30">
        <f t="shared" si="73"/>
        <v>6.2719325561530813E-8</v>
      </c>
      <c r="EW30">
        <f t="shared" si="74"/>
        <v>-8.2922981070632211</v>
      </c>
      <c r="EX30">
        <f t="shared" si="75"/>
        <v>-2.0767087671082446E-3</v>
      </c>
      <c r="EY30">
        <f t="shared" si="76"/>
        <v>-5.3360859650082777E-4</v>
      </c>
      <c r="EZ30">
        <f t="shared" si="77"/>
        <v>5.3419723189586055</v>
      </c>
      <c r="FB30" t="s">
        <v>315</v>
      </c>
      <c r="FC30" s="1" t="s">
        <v>528</v>
      </c>
      <c r="FD30">
        <v>4</v>
      </c>
      <c r="FE30">
        <v>1</v>
      </c>
      <c r="FF30">
        <v>1</v>
      </c>
      <c r="FH30">
        <f t="shared" si="78"/>
        <v>6</v>
      </c>
      <c r="FI30">
        <f t="shared" si="79"/>
        <v>0.10621348911311736</v>
      </c>
      <c r="FJ30">
        <f t="shared" si="80"/>
        <v>1.0621348911311736E-3</v>
      </c>
      <c r="FK30">
        <f t="shared" si="81"/>
        <v>1.12813052695823E-6</v>
      </c>
      <c r="FL30">
        <f t="shared" si="82"/>
        <v>-6.8474743480972071</v>
      </c>
      <c r="FM30">
        <f t="shared" si="83"/>
        <v>-7.2729414212397312E-3</v>
      </c>
      <c r="FN30">
        <f t="shared" si="84"/>
        <v>-1.859125422102101E-3</v>
      </c>
    </row>
    <row r="31" spans="1:170" x14ac:dyDescent="0.25">
      <c r="A31" t="s">
        <v>305</v>
      </c>
      <c r="B31" s="1" t="s">
        <v>370</v>
      </c>
      <c r="C31">
        <v>1</v>
      </c>
      <c r="D31">
        <f>(C31/C32)*100</f>
        <v>0.125</v>
      </c>
      <c r="E31">
        <f t="shared" si="0"/>
        <v>1.25E-3</v>
      </c>
      <c r="F31">
        <f t="shared" si="1"/>
        <v>1.5625000000000001E-6</v>
      </c>
      <c r="G31">
        <f t="shared" si="2"/>
        <v>-6.6846117276679271</v>
      </c>
      <c r="H31">
        <f t="shared" si="3"/>
        <v>-8.3557646595849092E-3</v>
      </c>
      <c r="I31">
        <f t="shared" si="4"/>
        <v>-2.5352482538721424E-3</v>
      </c>
      <c r="J31">
        <f t="shared" si="5"/>
        <v>3.8895303211680581</v>
      </c>
      <c r="L31" t="s">
        <v>303</v>
      </c>
      <c r="M31" t="s">
        <v>85</v>
      </c>
      <c r="N31">
        <v>7</v>
      </c>
      <c r="O31">
        <f>N31/N46*100</f>
        <v>0.74074074074074081</v>
      </c>
      <c r="P31">
        <f t="shared" si="12"/>
        <v>7.4074074074074077E-3</v>
      </c>
      <c r="Q31">
        <f t="shared" si="13"/>
        <v>5.4869684499314136E-5</v>
      </c>
      <c r="R31">
        <f t="shared" si="14"/>
        <v>-4.9052747784384296</v>
      </c>
      <c r="S31">
        <f t="shared" si="15"/>
        <v>-3.6335368729173555E-2</v>
      </c>
      <c r="T31">
        <f t="shared" si="16"/>
        <v>-9.7844792228362985E-3</v>
      </c>
      <c r="U31">
        <f t="shared" si="17"/>
        <v>5.838406118550437</v>
      </c>
      <c r="W31" t="s">
        <v>321</v>
      </c>
      <c r="X31" t="s">
        <v>202</v>
      </c>
      <c r="Y31">
        <v>5</v>
      </c>
      <c r="Z31">
        <v>5</v>
      </c>
      <c r="AC31" s="9">
        <f t="shared" si="87"/>
        <v>10</v>
      </c>
      <c r="AD31" s="9">
        <f t="shared" si="18"/>
        <v>0.91324200913242004</v>
      </c>
      <c r="AE31" s="9">
        <f t="shared" si="19"/>
        <v>9.1324200913242004E-3</v>
      </c>
      <c r="AF31" s="9">
        <f t="shared" si="20"/>
        <v>8.3401096724421912E-5</v>
      </c>
      <c r="AG31" s="9">
        <f t="shared" si="21"/>
        <v>-4.6959245492565556</v>
      </c>
      <c r="AH31" s="9">
        <f t="shared" si="22"/>
        <v>-4.2885155700973107E-2</v>
      </c>
      <c r="AI31" s="9">
        <f t="shared" si="23"/>
        <v>-1.1077997649859957E-2</v>
      </c>
      <c r="AJ31" s="9">
        <f t="shared" si="24"/>
        <v>6.7608659905015571</v>
      </c>
      <c r="AK31" s="9"/>
      <c r="AL31" s="9"/>
      <c r="AM31" t="s">
        <v>305</v>
      </c>
      <c r="AN31" s="2" t="s">
        <v>539</v>
      </c>
      <c r="AO31" s="2">
        <f t="shared" si="25"/>
        <v>1.4447884416924663</v>
      </c>
      <c r="AP31">
        <v>14</v>
      </c>
      <c r="AQ31">
        <v>5</v>
      </c>
      <c r="AW31">
        <f t="shared" si="26"/>
        <v>1.4344262295081968E-2</v>
      </c>
      <c r="AX31">
        <f t="shared" si="27"/>
        <v>2.0575786079011019E-4</v>
      </c>
      <c r="AY31">
        <f t="shared" si="28"/>
        <v>-4.2444052567978341</v>
      </c>
      <c r="AZ31">
        <f t="shared" si="29"/>
        <v>-6.0882862290132865E-2</v>
      </c>
      <c r="BA31">
        <f t="shared" si="30"/>
        <v>-1.4810199558963186E-2</v>
      </c>
      <c r="BB31">
        <f t="shared" si="31"/>
        <v>8.7217468765167201</v>
      </c>
      <c r="BE31" t="s">
        <v>315</v>
      </c>
      <c r="BF31" s="18" t="s">
        <v>38</v>
      </c>
      <c r="BG31" s="15">
        <v>32</v>
      </c>
      <c r="BH31" s="15">
        <f>BG31/BG65*100</f>
        <v>3.87409200968523</v>
      </c>
      <c r="BI31">
        <v>3</v>
      </c>
      <c r="BJ31">
        <v>13</v>
      </c>
      <c r="BK31">
        <v>6</v>
      </c>
      <c r="BL31">
        <v>10</v>
      </c>
      <c r="BN31">
        <f t="shared" si="6"/>
        <v>3.8554216867469883E-2</v>
      </c>
      <c r="BO31">
        <f t="shared" si="7"/>
        <v>1.4864276382638992E-3</v>
      </c>
      <c r="BP31">
        <f t="shared" si="8"/>
        <v>-3.2556897979909172</v>
      </c>
      <c r="BQ31">
        <f t="shared" si="9"/>
        <v>-0.12552057052495103</v>
      </c>
      <c r="BR31">
        <f t="shared" si="10"/>
        <v>-3.0533792734161881E-2</v>
      </c>
      <c r="BS31">
        <f t="shared" si="11"/>
        <v>8.9298827999525709</v>
      </c>
      <c r="BV31" t="s">
        <v>303</v>
      </c>
      <c r="BW31" s="1" t="s">
        <v>147</v>
      </c>
      <c r="BZ31">
        <v>1</v>
      </c>
      <c r="CA31">
        <f t="shared" si="32"/>
        <v>1</v>
      </c>
      <c r="CB31">
        <f>CA31/CA49*100</f>
        <v>1.0985389432055367E-2</v>
      </c>
      <c r="CC31">
        <f t="shared" si="33"/>
        <v>1.1103708638685321E-4</v>
      </c>
      <c r="CD31">
        <f t="shared" si="34"/>
        <v>1.2329234553281503E-8</v>
      </c>
      <c r="CE31">
        <f t="shared" si="35"/>
        <v>-9.1056463008615172</v>
      </c>
      <c r="CF31">
        <f t="shared" si="36"/>
        <v>-1.0110644349168906E-3</v>
      </c>
      <c r="CG31">
        <f t="shared" si="37"/>
        <v>-2.6560390831441814E-4</v>
      </c>
      <c r="CH31">
        <f t="shared" si="38"/>
        <v>4.8264299747314352</v>
      </c>
      <c r="CK31" t="s">
        <v>315</v>
      </c>
      <c r="CL31" s="1" t="s">
        <v>474</v>
      </c>
      <c r="CM31">
        <v>4</v>
      </c>
      <c r="CO31">
        <v>4</v>
      </c>
      <c r="CP31">
        <f t="shared" si="39"/>
        <v>8</v>
      </c>
      <c r="CQ31" s="15">
        <f t="shared" si="40"/>
        <v>0.71684587813620071</v>
      </c>
      <c r="CR31">
        <f t="shared" si="41"/>
        <v>7.1364852809991082E-3</v>
      </c>
      <c r="CS31">
        <f t="shared" si="42"/>
        <v>5.0929422165916923E-5</v>
      </c>
      <c r="CT31">
        <f t="shared" si="43"/>
        <v>-4.9425348813923238</v>
      </c>
      <c r="CU31">
        <f t="shared" si="44"/>
        <v>-3.5272327431880988E-2</v>
      </c>
      <c r="CV31">
        <f t="shared" si="45"/>
        <v>-9.3779448970842116E-3</v>
      </c>
      <c r="CW31">
        <f t="shared" si="46"/>
        <v>5.9850321673386508</v>
      </c>
      <c r="CZ31" t="s">
        <v>305</v>
      </c>
      <c r="DA31" t="s">
        <v>491</v>
      </c>
      <c r="DB31">
        <v>6</v>
      </c>
      <c r="DC31">
        <v>1</v>
      </c>
      <c r="DD31">
        <v>11</v>
      </c>
      <c r="DE31">
        <f t="shared" si="47"/>
        <v>18</v>
      </c>
      <c r="DF31" s="36">
        <f t="shared" si="48"/>
        <v>2.4258760107816713</v>
      </c>
      <c r="DG31">
        <f t="shared" si="49"/>
        <v>2.4193548387096774E-2</v>
      </c>
      <c r="DH31">
        <f t="shared" si="50"/>
        <v>5.853277835587929E-4</v>
      </c>
      <c r="DI31">
        <f t="shared" si="51"/>
        <v>-3.7216692769369271</v>
      </c>
      <c r="DJ31">
        <f t="shared" si="52"/>
        <v>-9.0040385732345005E-2</v>
      </c>
      <c r="DK31">
        <f t="shared" si="53"/>
        <v>-2.2270404149628914E-2</v>
      </c>
      <c r="DL31">
        <f t="shared" si="54"/>
        <v>8.4693969237312228</v>
      </c>
      <c r="DN31" t="s">
        <v>305</v>
      </c>
      <c r="DO31" s="1" t="s">
        <v>487</v>
      </c>
      <c r="DP31">
        <v>2</v>
      </c>
      <c r="DQ31">
        <f t="shared" si="55"/>
        <v>0.516795865633075</v>
      </c>
      <c r="DR31">
        <f t="shared" si="56"/>
        <v>5.1679586563307496E-3</v>
      </c>
      <c r="DS31">
        <f t="shared" si="57"/>
        <v>2.6707796673543928E-5</v>
      </c>
      <c r="DT31">
        <f t="shared" si="58"/>
        <v>-5.2652775124698366</v>
      </c>
      <c r="DU31">
        <f t="shared" si="59"/>
        <v>-2.7210736498552129E-2</v>
      </c>
      <c r="DV31">
        <f t="shared" si="60"/>
        <v>-7.5356840440125349E-3</v>
      </c>
      <c r="DW31">
        <f t="shared" si="61"/>
        <v>6.0418654014563815</v>
      </c>
      <c r="DY31" t="s">
        <v>315</v>
      </c>
      <c r="DZ31" s="1" t="s">
        <v>492</v>
      </c>
      <c r="EA31">
        <v>1</v>
      </c>
      <c r="ED31">
        <f t="shared" si="62"/>
        <v>1</v>
      </c>
      <c r="EE31">
        <f t="shared" si="63"/>
        <v>8.3822296730930432E-2</v>
      </c>
      <c r="EF31">
        <f t="shared" si="64"/>
        <v>8.3822296730930428E-4</v>
      </c>
      <c r="EG31">
        <f t="shared" si="65"/>
        <v>7.0261774292481497E-7</v>
      </c>
      <c r="EH31">
        <f t="shared" si="66"/>
        <v>-7.0842264220979159</v>
      </c>
      <c r="EI31">
        <f t="shared" si="67"/>
        <v>-5.9381612926218911E-3</v>
      </c>
      <c r="EJ31">
        <f t="shared" si="68"/>
        <v>-1.5339325640518077E-3</v>
      </c>
      <c r="EK31">
        <f t="shared" si="69"/>
        <v>6.6344576245322022</v>
      </c>
      <c r="EM31" t="s">
        <v>571</v>
      </c>
      <c r="EN31" t="s">
        <v>175</v>
      </c>
      <c r="EO31">
        <v>1</v>
      </c>
      <c r="EP31">
        <v>1</v>
      </c>
      <c r="EQ31">
        <v>1</v>
      </c>
      <c r="ER31">
        <v>1</v>
      </c>
      <c r="ES31">
        <f t="shared" si="70"/>
        <v>4</v>
      </c>
      <c r="ET31">
        <f t="shared" si="71"/>
        <v>5.0087653393438514E-2</v>
      </c>
      <c r="EU31">
        <f t="shared" si="72"/>
        <v>5.0087653393438513E-4</v>
      </c>
      <c r="EV31">
        <f t="shared" si="73"/>
        <v>2.5087730224612325E-7</v>
      </c>
      <c r="EW31">
        <f t="shared" si="74"/>
        <v>-7.5991509265032757</v>
      </c>
      <c r="EX31">
        <f t="shared" si="75"/>
        <v>-3.806236376911232E-3</v>
      </c>
      <c r="EY31">
        <f t="shared" si="76"/>
        <v>-9.7800928238106401E-4</v>
      </c>
      <c r="EZ31">
        <f t="shared" si="77"/>
        <v>5.3419723189586055</v>
      </c>
      <c r="FB31" t="s">
        <v>315</v>
      </c>
      <c r="FC31" s="1" t="s">
        <v>26</v>
      </c>
      <c r="FD31">
        <v>7</v>
      </c>
      <c r="FE31">
        <v>2</v>
      </c>
      <c r="FF31">
        <v>8</v>
      </c>
      <c r="FG31">
        <v>7</v>
      </c>
      <c r="FH31">
        <f t="shared" si="78"/>
        <v>24</v>
      </c>
      <c r="FI31" s="15">
        <f t="shared" si="79"/>
        <v>0.42485395645246943</v>
      </c>
      <c r="FJ31">
        <f t="shared" si="80"/>
        <v>4.2485395645246943E-3</v>
      </c>
      <c r="FK31">
        <f t="shared" si="81"/>
        <v>1.805008843133168E-5</v>
      </c>
      <c r="FL31">
        <f t="shared" si="82"/>
        <v>-5.4611799869773163</v>
      </c>
      <c r="FM31">
        <f t="shared" si="83"/>
        <v>-2.3202039243663583E-2</v>
      </c>
      <c r="FN31">
        <f t="shared" si="84"/>
        <v>-5.9309567483293128E-3</v>
      </c>
    </row>
    <row r="32" spans="1:170" x14ac:dyDescent="0.25">
      <c r="B32" t="s">
        <v>132</v>
      </c>
      <c r="C32" s="3">
        <f>SUM(C5:C31)</f>
        <v>800</v>
      </c>
      <c r="F32">
        <f>SUM(F5:F31)</f>
        <v>8.838749999999998E-2</v>
      </c>
      <c r="H32" s="3">
        <f>SUM(H5:H31)</f>
        <v>-2.6837387013582434</v>
      </c>
      <c r="I32" s="3">
        <f>SUM(I5:I31)</f>
        <v>-0.81428141333094683</v>
      </c>
      <c r="J32" s="3">
        <f>AVERAGE(J5:J31)</f>
        <v>3.8895303211680567</v>
      </c>
      <c r="L32" t="s">
        <v>303</v>
      </c>
      <c r="M32" t="s">
        <v>86</v>
      </c>
      <c r="N32">
        <v>8</v>
      </c>
      <c r="O32">
        <f>N32/N46*100</f>
        <v>0.84656084656084662</v>
      </c>
      <c r="P32">
        <f t="shared" si="12"/>
        <v>8.4656084656084662E-3</v>
      </c>
      <c r="Q32">
        <f t="shared" si="13"/>
        <v>7.1666526692981724E-5</v>
      </c>
      <c r="R32">
        <f t="shared" si="14"/>
        <v>-4.7717433858139069</v>
      </c>
      <c r="S32">
        <f t="shared" si="15"/>
        <v>-4.0395711202657412E-2</v>
      </c>
      <c r="T32">
        <f t="shared" si="16"/>
        <v>-1.0877858427696405E-2</v>
      </c>
      <c r="U32">
        <f t="shared" si="17"/>
        <v>5.838406118550437</v>
      </c>
      <c r="W32" t="s">
        <v>303</v>
      </c>
      <c r="X32" t="s">
        <v>105</v>
      </c>
      <c r="Y32">
        <v>5</v>
      </c>
      <c r="AC32" s="9">
        <f t="shared" si="87"/>
        <v>5</v>
      </c>
      <c r="AD32" s="9">
        <f t="shared" si="18"/>
        <v>0.45662100456621002</v>
      </c>
      <c r="AE32" s="9">
        <f t="shared" si="19"/>
        <v>4.5662100456621002E-3</v>
      </c>
      <c r="AF32" s="9">
        <f t="shared" si="20"/>
        <v>2.0850274181105478E-5</v>
      </c>
      <c r="AG32" s="9">
        <f t="shared" si="21"/>
        <v>-5.389071729816501</v>
      </c>
      <c r="AH32" s="9">
        <f t="shared" si="22"/>
        <v>-2.4607633469481738E-2</v>
      </c>
      <c r="AI32" s="9">
        <f t="shared" si="23"/>
        <v>-6.3565889242498024E-3</v>
      </c>
      <c r="AJ32" s="9">
        <f t="shared" si="24"/>
        <v>6.7608659905015571</v>
      </c>
      <c r="AK32" s="9"/>
      <c r="AL32" s="9"/>
      <c r="AM32" t="s">
        <v>315</v>
      </c>
      <c r="AN32" s="1" t="s">
        <v>136</v>
      </c>
      <c r="AO32" s="38">
        <f t="shared" si="25"/>
        <v>0.51599587203302377</v>
      </c>
      <c r="AP32">
        <v>5</v>
      </c>
      <c r="AQ32">
        <v>1</v>
      </c>
      <c r="AR32">
        <v>1</v>
      </c>
      <c r="AS32">
        <v>1</v>
      </c>
      <c r="AT32">
        <v>1</v>
      </c>
      <c r="AU32">
        <v>1</v>
      </c>
      <c r="AW32">
        <f t="shared" si="26"/>
        <v>5.1229508196721308E-3</v>
      </c>
      <c r="AX32">
        <f t="shared" si="27"/>
        <v>2.6244625100779358E-5</v>
      </c>
      <c r="AY32">
        <f t="shared" si="28"/>
        <v>-5.2740246739789924</v>
      </c>
      <c r="AZ32">
        <f t="shared" si="29"/>
        <v>-2.701856902653172E-2</v>
      </c>
      <c r="BA32">
        <f t="shared" si="30"/>
        <v>-6.5724636462337919E-3</v>
      </c>
      <c r="BB32">
        <f t="shared" si="31"/>
        <v>8.7217468765167201</v>
      </c>
      <c r="BE32" t="s">
        <v>303</v>
      </c>
      <c r="BF32" s="1" t="s">
        <v>29</v>
      </c>
      <c r="BG32">
        <v>3</v>
      </c>
      <c r="BH32">
        <f>BG32/BG65*100</f>
        <v>0.36319612590799033</v>
      </c>
      <c r="BI32">
        <v>3</v>
      </c>
      <c r="BN32">
        <f t="shared" si="6"/>
        <v>3.6144578313253013E-3</v>
      </c>
      <c r="BO32">
        <f t="shared" si="7"/>
        <v>1.3064305414428801E-5</v>
      </c>
      <c r="BP32">
        <f t="shared" si="8"/>
        <v>-5.6228134121225342</v>
      </c>
      <c r="BQ32">
        <f t="shared" si="9"/>
        <v>-2.0323421971527231E-2</v>
      </c>
      <c r="BR32">
        <f t="shared" si="10"/>
        <v>-4.9438203756743656E-3</v>
      </c>
      <c r="BS32">
        <f t="shared" si="11"/>
        <v>8.9298827999525709</v>
      </c>
      <c r="BV32" t="s">
        <v>315</v>
      </c>
      <c r="BW32" s="18" t="s">
        <v>497</v>
      </c>
      <c r="BX32" s="15">
        <v>17</v>
      </c>
      <c r="BY32" s="15"/>
      <c r="BZ32" s="15"/>
      <c r="CA32" s="15">
        <f t="shared" si="32"/>
        <v>17</v>
      </c>
      <c r="CB32" s="15">
        <f>CA32/CA49*100</f>
        <v>0.18675162034494122</v>
      </c>
      <c r="CC32">
        <f t="shared" si="33"/>
        <v>1.8876304685765046E-3</v>
      </c>
      <c r="CD32">
        <f t="shared" si="34"/>
        <v>3.5631487858983543E-6</v>
      </c>
      <c r="CE32">
        <f t="shared" si="35"/>
        <v>-6.272432956805301</v>
      </c>
      <c r="CF32">
        <f t="shared" si="36"/>
        <v>-1.1840035561369101E-2</v>
      </c>
      <c r="CG32">
        <f t="shared" si="37"/>
        <v>-3.1103455042801775E-3</v>
      </c>
      <c r="CH32">
        <f t="shared" si="38"/>
        <v>4.8264299747314352</v>
      </c>
      <c r="CK32" t="s">
        <v>305</v>
      </c>
      <c r="CL32" t="s">
        <v>264</v>
      </c>
      <c r="CM32">
        <v>24</v>
      </c>
      <c r="CN32">
        <v>1</v>
      </c>
      <c r="CP32">
        <f t="shared" si="39"/>
        <v>25</v>
      </c>
      <c r="CQ32" s="36">
        <f t="shared" si="40"/>
        <v>2.2401433691756272</v>
      </c>
      <c r="CR32">
        <f t="shared" si="41"/>
        <v>2.2301516503122211E-2</v>
      </c>
      <c r="CS32">
        <f t="shared" si="42"/>
        <v>4.9735763833903238E-4</v>
      </c>
      <c r="CT32">
        <f t="shared" si="43"/>
        <v>-3.8031005982039594</v>
      </c>
      <c r="CU32">
        <f t="shared" si="44"/>
        <v>-8.4814910753879549E-2</v>
      </c>
      <c r="CV32">
        <f t="shared" si="45"/>
        <v>-2.2549959625915768E-2</v>
      </c>
      <c r="CW32">
        <f t="shared" si="46"/>
        <v>5.9850321673386508</v>
      </c>
      <c r="CZ32" t="s">
        <v>568</v>
      </c>
      <c r="DA32" t="s">
        <v>493</v>
      </c>
      <c r="DC32">
        <v>6</v>
      </c>
      <c r="DD32">
        <v>23</v>
      </c>
      <c r="DE32">
        <f t="shared" si="47"/>
        <v>29</v>
      </c>
      <c r="DF32" s="36">
        <f t="shared" si="48"/>
        <v>3.9083557951482479</v>
      </c>
      <c r="DG32">
        <f t="shared" si="49"/>
        <v>3.8978494623655914E-2</v>
      </c>
      <c r="DH32">
        <f t="shared" si="50"/>
        <v>1.5193230431263731E-3</v>
      </c>
      <c r="DI32">
        <f t="shared" si="51"/>
        <v>-3.2447452048466179</v>
      </c>
      <c r="DJ32">
        <f t="shared" si="52"/>
        <v>-0.12647528352224721</v>
      </c>
      <c r="DK32">
        <f t="shared" si="53"/>
        <v>-3.1282136966318291E-2</v>
      </c>
      <c r="DL32">
        <f t="shared" si="54"/>
        <v>8.4693969237312228</v>
      </c>
      <c r="DN32" t="s">
        <v>568</v>
      </c>
      <c r="DO32" s="1" t="s">
        <v>218</v>
      </c>
      <c r="DP32">
        <v>1</v>
      </c>
      <c r="DQ32">
        <f t="shared" si="55"/>
        <v>0.2583979328165375</v>
      </c>
      <c r="DR32">
        <f t="shared" si="56"/>
        <v>2.5839793281653748E-3</v>
      </c>
      <c r="DS32">
        <f t="shared" si="57"/>
        <v>6.6769491683859819E-6</v>
      </c>
      <c r="DT32">
        <f t="shared" si="58"/>
        <v>-5.9584246930297819</v>
      </c>
      <c r="DU32">
        <f t="shared" si="59"/>
        <v>-1.5396446235219076E-2</v>
      </c>
      <c r="DV32">
        <f t="shared" si="60"/>
        <v>-4.2638593863643043E-3</v>
      </c>
      <c r="DW32">
        <f t="shared" si="61"/>
        <v>6.0418654014563815</v>
      </c>
      <c r="DY32" t="s">
        <v>303</v>
      </c>
      <c r="DZ32" s="1" t="s">
        <v>40</v>
      </c>
      <c r="EB32">
        <v>1</v>
      </c>
      <c r="ED32">
        <f t="shared" si="62"/>
        <v>1</v>
      </c>
      <c r="EE32">
        <f t="shared" si="63"/>
        <v>8.3822296730930432E-2</v>
      </c>
      <c r="EF32">
        <f t="shared" si="64"/>
        <v>8.3822296730930428E-4</v>
      </c>
      <c r="EG32">
        <f t="shared" si="65"/>
        <v>7.0261774292481497E-7</v>
      </c>
      <c r="EH32">
        <f t="shared" si="66"/>
        <v>-7.0842264220979159</v>
      </c>
      <c r="EI32">
        <f t="shared" si="67"/>
        <v>-5.9381612926218911E-3</v>
      </c>
      <c r="EJ32">
        <f t="shared" si="68"/>
        <v>-1.5339325640518077E-3</v>
      </c>
      <c r="EK32">
        <f t="shared" si="69"/>
        <v>6.6344576245322022</v>
      </c>
      <c r="EM32" t="s">
        <v>303</v>
      </c>
      <c r="EN32" s="1" t="s">
        <v>40</v>
      </c>
      <c r="EP32">
        <v>1</v>
      </c>
      <c r="EQ32">
        <v>1</v>
      </c>
      <c r="ER32">
        <v>1</v>
      </c>
      <c r="ES32">
        <f t="shared" si="70"/>
        <v>3</v>
      </c>
      <c r="ET32">
        <f t="shared" si="71"/>
        <v>3.7565740045078892E-2</v>
      </c>
      <c r="EU32">
        <f t="shared" si="72"/>
        <v>3.756574004507889E-4</v>
      </c>
      <c r="EV32">
        <f t="shared" si="73"/>
        <v>1.4111848251344438E-7</v>
      </c>
      <c r="EW32">
        <f t="shared" si="74"/>
        <v>-7.8868329989550565</v>
      </c>
      <c r="EX32">
        <f t="shared" si="75"/>
        <v>-2.9627471821769562E-3</v>
      </c>
      <c r="EY32">
        <f t="shared" si="76"/>
        <v>-7.6127543289069384E-4</v>
      </c>
      <c r="EZ32">
        <f t="shared" si="77"/>
        <v>5.3419723189586055</v>
      </c>
      <c r="FB32" t="s">
        <v>303</v>
      </c>
      <c r="FC32" s="1" t="s">
        <v>527</v>
      </c>
      <c r="FD32">
        <v>1</v>
      </c>
      <c r="FE32">
        <v>4</v>
      </c>
      <c r="FF32">
        <v>3</v>
      </c>
      <c r="FG32">
        <v>1</v>
      </c>
      <c r="FH32">
        <f t="shared" si="78"/>
        <v>9</v>
      </c>
      <c r="FI32">
        <f t="shared" si="79"/>
        <v>0.15932023366967604</v>
      </c>
      <c r="FJ32">
        <f t="shared" si="80"/>
        <v>1.5932023366967605E-3</v>
      </c>
      <c r="FK32">
        <f t="shared" si="81"/>
        <v>2.5382936856560179E-6</v>
      </c>
      <c r="FL32">
        <f t="shared" si="82"/>
        <v>-6.4420092399890425</v>
      </c>
      <c r="FM32">
        <f t="shared" si="83"/>
        <v>-1.0263424174172664E-2</v>
      </c>
      <c r="FN32">
        <f t="shared" si="84"/>
        <v>-2.6235592581975112E-3</v>
      </c>
    </row>
    <row r="33" spans="6:170" x14ac:dyDescent="0.25">
      <c r="F33">
        <f>1/F32</f>
        <v>11.313816999010044</v>
      </c>
      <c r="H33">
        <f>STDEV(H5:H31)</f>
        <v>8.7946143657826742E-2</v>
      </c>
      <c r="I33">
        <f>STDEV(I5:I31)</f>
        <v>2.6684009929304333E-2</v>
      </c>
      <c r="J33">
        <f>STDEV(J5:J31)</f>
        <v>1.3576464362465439E-15</v>
      </c>
      <c r="L33" t="s">
        <v>303</v>
      </c>
      <c r="M33" s="1" t="s">
        <v>536</v>
      </c>
      <c r="N33">
        <v>1</v>
      </c>
      <c r="O33">
        <f>N33/N46*100</f>
        <v>0.10582010582010583</v>
      </c>
      <c r="P33">
        <f t="shared" si="12"/>
        <v>1.0582010582010583E-3</v>
      </c>
      <c r="Q33">
        <f t="shared" si="13"/>
        <v>1.1197894795778394E-6</v>
      </c>
      <c r="R33">
        <f t="shared" si="14"/>
        <v>-6.8511849274937431</v>
      </c>
      <c r="S33">
        <f t="shared" si="15"/>
        <v>-7.2499311402050197E-3</v>
      </c>
      <c r="T33">
        <f t="shared" si="16"/>
        <v>-1.9522796407285378E-3</v>
      </c>
      <c r="U33">
        <f t="shared" si="17"/>
        <v>5.838406118550437</v>
      </c>
      <c r="W33" t="s">
        <v>303</v>
      </c>
      <c r="X33" s="1" t="s">
        <v>429</v>
      </c>
      <c r="Y33">
        <v>1</v>
      </c>
      <c r="AA33">
        <v>1</v>
      </c>
      <c r="AC33" s="9">
        <f t="shared" si="87"/>
        <v>2</v>
      </c>
      <c r="AD33" s="9">
        <f t="shared" si="18"/>
        <v>0.18264840182648401</v>
      </c>
      <c r="AE33" s="9">
        <f t="shared" si="19"/>
        <v>1.8264840182648401E-3</v>
      </c>
      <c r="AF33" s="9">
        <f t="shared" si="20"/>
        <v>3.336043868976877E-6</v>
      </c>
      <c r="AG33" s="9">
        <f t="shared" si="21"/>
        <v>-6.3053624616906561</v>
      </c>
      <c r="AH33" s="9">
        <f t="shared" si="22"/>
        <v>-1.1516643765645034E-2</v>
      </c>
      <c r="AI33" s="9">
        <f t="shared" si="23"/>
        <v>-2.9749536986569702E-3</v>
      </c>
      <c r="AJ33" s="9">
        <f t="shared" si="24"/>
        <v>6.7608659905015571</v>
      </c>
      <c r="AK33" s="9"/>
      <c r="AL33" s="9"/>
      <c r="AM33" t="s">
        <v>303</v>
      </c>
      <c r="AN33" s="1" t="s">
        <v>12</v>
      </c>
      <c r="AO33" s="2">
        <f t="shared" si="25"/>
        <v>0.10319917440660474</v>
      </c>
      <c r="AP33">
        <v>1</v>
      </c>
      <c r="AQ33">
        <v>1</v>
      </c>
      <c r="AW33">
        <f t="shared" si="26"/>
        <v>1.0245901639344263E-3</v>
      </c>
      <c r="AX33">
        <f t="shared" si="27"/>
        <v>1.0497850040311745E-6</v>
      </c>
      <c r="AY33">
        <f t="shared" si="28"/>
        <v>-6.8834625864130921</v>
      </c>
      <c r="AZ33">
        <f t="shared" si="29"/>
        <v>-7.0527280598494798E-3</v>
      </c>
      <c r="BA33">
        <f t="shared" si="30"/>
        <v>-1.7156274536454963E-3</v>
      </c>
      <c r="BB33">
        <f t="shared" si="31"/>
        <v>8.7217468765167201</v>
      </c>
      <c r="BE33" t="s">
        <v>303</v>
      </c>
      <c r="BF33" s="1" t="s">
        <v>462</v>
      </c>
      <c r="BG33">
        <v>13</v>
      </c>
      <c r="BH33">
        <f>BG33/BG65*100</f>
        <v>1.5738498789346249</v>
      </c>
      <c r="BI33">
        <v>1</v>
      </c>
      <c r="BJ33">
        <v>5</v>
      </c>
      <c r="BK33">
        <v>7</v>
      </c>
      <c r="BN33">
        <f t="shared" si="6"/>
        <v>1.566265060240964E-2</v>
      </c>
      <c r="BO33">
        <f t="shared" si="7"/>
        <v>2.4531862389316306E-4</v>
      </c>
      <c r="BP33">
        <f t="shared" si="8"/>
        <v>-4.156476343329107</v>
      </c>
      <c r="BQ33">
        <f t="shared" si="9"/>
        <v>-6.5101436702745055E-2</v>
      </c>
      <c r="BR33">
        <f t="shared" si="10"/>
        <v>-1.5836398501571838E-2</v>
      </c>
      <c r="BS33">
        <f t="shared" si="11"/>
        <v>8.9298827999525709</v>
      </c>
      <c r="BV33" t="s">
        <v>303</v>
      </c>
      <c r="BW33" s="1" t="s">
        <v>479</v>
      </c>
      <c r="BX33">
        <v>1</v>
      </c>
      <c r="BZ33">
        <v>25</v>
      </c>
      <c r="CA33">
        <f t="shared" si="32"/>
        <v>26</v>
      </c>
      <c r="CB33">
        <f>CA33/CA49*100</f>
        <v>0.28562012523343949</v>
      </c>
      <c r="CC33">
        <f t="shared" si="33"/>
        <v>2.8869642460581835E-3</v>
      </c>
      <c r="CD33">
        <f t="shared" si="34"/>
        <v>8.3345625580182965E-6</v>
      </c>
      <c r="CE33">
        <f t="shared" si="35"/>
        <v>-5.8475497628400346</v>
      </c>
      <c r="CF33">
        <f t="shared" si="36"/>
        <v>-1.6881667092365191E-2</v>
      </c>
      <c r="CG33">
        <f t="shared" si="37"/>
        <v>-4.4347685505955565E-3</v>
      </c>
      <c r="CH33">
        <f t="shared" si="38"/>
        <v>4.8264299747314352</v>
      </c>
      <c r="CK33" t="s">
        <v>315</v>
      </c>
      <c r="CL33" t="s">
        <v>489</v>
      </c>
      <c r="CM33">
        <v>15</v>
      </c>
      <c r="CN33">
        <v>10</v>
      </c>
      <c r="CO33">
        <v>10</v>
      </c>
      <c r="CP33">
        <f t="shared" si="39"/>
        <v>35</v>
      </c>
      <c r="CQ33" s="15">
        <f t="shared" si="40"/>
        <v>3.1362007168458779</v>
      </c>
      <c r="CR33">
        <f t="shared" si="41"/>
        <v>3.1222123104371096E-2</v>
      </c>
      <c r="CS33">
        <f t="shared" si="42"/>
        <v>9.748209711445034E-4</v>
      </c>
      <c r="CT33">
        <f t="shared" si="43"/>
        <v>-3.4666283615827465</v>
      </c>
      <c r="CU33">
        <f t="shared" si="44"/>
        <v>-0.10823549746244078</v>
      </c>
      <c r="CV33">
        <f t="shared" si="45"/>
        <v>-2.8776851572143016E-2</v>
      </c>
      <c r="CW33">
        <f t="shared" si="46"/>
        <v>5.9850321673386508</v>
      </c>
      <c r="CZ33" t="s">
        <v>315</v>
      </c>
      <c r="DA33" t="s">
        <v>489</v>
      </c>
      <c r="DB33">
        <v>8</v>
      </c>
      <c r="DC33">
        <v>1</v>
      </c>
      <c r="DD33">
        <v>4</v>
      </c>
      <c r="DE33">
        <f t="shared" si="47"/>
        <v>13</v>
      </c>
      <c r="DF33" s="15">
        <f t="shared" si="48"/>
        <v>1.7520215633423182</v>
      </c>
      <c r="DG33">
        <f t="shared" si="49"/>
        <v>1.7473118279569891E-2</v>
      </c>
      <c r="DH33">
        <f t="shared" si="50"/>
        <v>3.0530986241183945E-4</v>
      </c>
      <c r="DI33">
        <f t="shared" si="51"/>
        <v>-4.0470916773715553</v>
      </c>
      <c r="DJ33">
        <f t="shared" si="52"/>
        <v>-7.0715311566976094E-2</v>
      </c>
      <c r="DK33">
        <f t="shared" si="53"/>
        <v>-1.7490579980909089E-2</v>
      </c>
      <c r="DL33">
        <f t="shared" si="54"/>
        <v>8.4693969237312228</v>
      </c>
      <c r="DN33" t="s">
        <v>303</v>
      </c>
      <c r="DO33" s="1" t="s">
        <v>290</v>
      </c>
      <c r="DP33">
        <v>3</v>
      </c>
      <c r="DQ33">
        <f t="shared" si="55"/>
        <v>0.77519379844961245</v>
      </c>
      <c r="DR33">
        <f t="shared" si="56"/>
        <v>7.7519379844961239E-3</v>
      </c>
      <c r="DS33">
        <f t="shared" si="57"/>
        <v>6.0092542515473829E-5</v>
      </c>
      <c r="DT33">
        <f t="shared" si="58"/>
        <v>-4.8598124043616719</v>
      </c>
      <c r="DU33">
        <f t="shared" si="59"/>
        <v>-3.7672964374896679E-2</v>
      </c>
      <c r="DV33">
        <f t="shared" si="60"/>
        <v>-1.0433071392450819E-2</v>
      </c>
      <c r="DW33">
        <f t="shared" si="61"/>
        <v>6.0418654014563815</v>
      </c>
      <c r="DY33" t="s">
        <v>305</v>
      </c>
      <c r="DZ33" s="1" t="s">
        <v>487</v>
      </c>
      <c r="EB33">
        <v>5</v>
      </c>
      <c r="EC33">
        <v>1</v>
      </c>
      <c r="ED33">
        <f t="shared" si="62"/>
        <v>6</v>
      </c>
      <c r="EE33">
        <f t="shared" si="63"/>
        <v>0.50293378038558256</v>
      </c>
      <c r="EF33">
        <f t="shared" si="64"/>
        <v>5.0293378038558257E-3</v>
      </c>
      <c r="EG33">
        <f t="shared" si="65"/>
        <v>2.529423874529334E-5</v>
      </c>
      <c r="EH33">
        <f t="shared" si="66"/>
        <v>-5.2924669528698614</v>
      </c>
      <c r="EI33">
        <f t="shared" si="67"/>
        <v>-2.6617604121726042E-2</v>
      </c>
      <c r="EJ33">
        <f t="shared" si="68"/>
        <v>-6.8758000544858209E-3</v>
      </c>
      <c r="EK33">
        <f t="shared" si="69"/>
        <v>6.6344576245322022</v>
      </c>
      <c r="EM33" t="s">
        <v>303</v>
      </c>
      <c r="EN33" s="1" t="s">
        <v>21</v>
      </c>
      <c r="EO33">
        <v>1</v>
      </c>
      <c r="ES33">
        <f t="shared" si="70"/>
        <v>1</v>
      </c>
      <c r="ET33">
        <f t="shared" si="71"/>
        <v>1.2521913348359628E-2</v>
      </c>
      <c r="EU33">
        <f t="shared" si="72"/>
        <v>1.2521913348359628E-4</v>
      </c>
      <c r="EV33">
        <f t="shared" si="73"/>
        <v>1.5679831390382703E-8</v>
      </c>
      <c r="EW33">
        <f t="shared" si="74"/>
        <v>-8.9854452876231665</v>
      </c>
      <c r="EX33">
        <f t="shared" si="75"/>
        <v>-1.1251496728804365E-3</v>
      </c>
      <c r="EY33">
        <f t="shared" si="76"/>
        <v>-2.8910627590556176E-4</v>
      </c>
      <c r="EZ33">
        <f t="shared" si="77"/>
        <v>5.3419723189586055</v>
      </c>
      <c r="FB33" t="s">
        <v>568</v>
      </c>
      <c r="FC33" s="1" t="s">
        <v>218</v>
      </c>
      <c r="FF33">
        <v>2</v>
      </c>
      <c r="FG33">
        <v>2</v>
      </c>
      <c r="FH33">
        <f t="shared" si="78"/>
        <v>4</v>
      </c>
      <c r="FI33">
        <f t="shared" si="79"/>
        <v>7.0808992742078233E-2</v>
      </c>
      <c r="FJ33">
        <f t="shared" si="80"/>
        <v>7.0808992742078239E-4</v>
      </c>
      <c r="FK33">
        <f t="shared" si="81"/>
        <v>5.013913453147689E-7</v>
      </c>
      <c r="FL33">
        <f t="shared" si="82"/>
        <v>-7.2529394562053717</v>
      </c>
      <c r="FM33">
        <f t="shared" si="83"/>
        <v>-5.1357333731317902E-3</v>
      </c>
      <c r="FN33">
        <f t="shared" si="84"/>
        <v>-1.3128075591594627E-3</v>
      </c>
    </row>
    <row r="34" spans="6:170" x14ac:dyDescent="0.25">
      <c r="L34" t="s">
        <v>305</v>
      </c>
      <c r="M34" s="1" t="s">
        <v>60</v>
      </c>
      <c r="N34">
        <v>12</v>
      </c>
      <c r="O34">
        <f>N34/N46*100</f>
        <v>1.2698412698412698</v>
      </c>
      <c r="P34">
        <f t="shared" si="12"/>
        <v>1.2698412698412698E-2</v>
      </c>
      <c r="Q34">
        <f t="shared" si="13"/>
        <v>1.6124968505920888E-4</v>
      </c>
      <c r="R34">
        <f t="shared" si="14"/>
        <v>-4.3662782777057423</v>
      </c>
      <c r="S34">
        <f t="shared" si="15"/>
        <v>-5.5444803526422122E-2</v>
      </c>
      <c r="T34">
        <f t="shared" si="16"/>
        <v>-1.493031575273234E-2</v>
      </c>
      <c r="U34">
        <f t="shared" si="17"/>
        <v>5.838406118550437</v>
      </c>
      <c r="W34" t="s">
        <v>315</v>
      </c>
      <c r="X34" t="s">
        <v>102</v>
      </c>
      <c r="Y34">
        <v>4</v>
      </c>
      <c r="AC34" s="9">
        <f t="shared" si="87"/>
        <v>4</v>
      </c>
      <c r="AD34" s="9">
        <f t="shared" si="18"/>
        <v>0.36529680365296802</v>
      </c>
      <c r="AE34" s="9">
        <f t="shared" si="19"/>
        <v>3.6529680365296802E-3</v>
      </c>
      <c r="AF34" s="9">
        <f t="shared" si="20"/>
        <v>1.3344175475907508E-5</v>
      </c>
      <c r="AG34" s="9">
        <f t="shared" si="21"/>
        <v>-5.6122152811307107</v>
      </c>
      <c r="AH34" s="9">
        <f t="shared" si="22"/>
        <v>-2.0501243036093918E-2</v>
      </c>
      <c r="AI34" s="9">
        <f t="shared" si="23"/>
        <v>-5.2958353178580815E-3</v>
      </c>
      <c r="AJ34" s="9">
        <f t="shared" si="24"/>
        <v>6.7608659905015571</v>
      </c>
      <c r="AK34" s="9"/>
      <c r="AL34" s="9"/>
      <c r="AM34" t="s">
        <v>303</v>
      </c>
      <c r="AN34" s="1" t="s">
        <v>440</v>
      </c>
      <c r="AO34" s="2">
        <f t="shared" si="25"/>
        <v>0.30959752321981426</v>
      </c>
      <c r="AP34">
        <v>3</v>
      </c>
      <c r="AQ34">
        <v>2</v>
      </c>
      <c r="AR34">
        <v>1</v>
      </c>
      <c r="AW34">
        <f t="shared" si="26"/>
        <v>3.0737704918032786E-3</v>
      </c>
      <c r="AX34">
        <f t="shared" si="27"/>
        <v>9.4480650362805687E-6</v>
      </c>
      <c r="AY34">
        <f t="shared" si="28"/>
        <v>-5.7848502977449829</v>
      </c>
      <c r="AZ34">
        <f t="shared" si="29"/>
        <v>-1.7781302144707939E-2</v>
      </c>
      <c r="BA34">
        <f t="shared" si="30"/>
        <v>-4.3254312178424683E-3</v>
      </c>
      <c r="BB34">
        <f t="shared" si="31"/>
        <v>8.7217468765167201</v>
      </c>
      <c r="BE34" t="s">
        <v>303</v>
      </c>
      <c r="BF34" s="1" t="s">
        <v>463</v>
      </c>
      <c r="BG34">
        <v>9</v>
      </c>
      <c r="BH34">
        <f>BG34/BG65*100</f>
        <v>1.0895883777239708</v>
      </c>
      <c r="BI34">
        <v>2</v>
      </c>
      <c r="BJ34">
        <v>1</v>
      </c>
      <c r="BK34">
        <v>3</v>
      </c>
      <c r="BL34">
        <v>3</v>
      </c>
      <c r="BN34">
        <f t="shared" si="6"/>
        <v>1.0843373493975903E-2</v>
      </c>
      <c r="BO34">
        <f t="shared" si="7"/>
        <v>1.1757874872985919E-4</v>
      </c>
      <c r="BP34">
        <f t="shared" si="8"/>
        <v>-4.5242011234544242</v>
      </c>
      <c r="BQ34">
        <f t="shared" si="9"/>
        <v>-4.905760254348171E-2</v>
      </c>
      <c r="BR34">
        <f t="shared" si="10"/>
        <v>-1.1933619022228769E-2</v>
      </c>
      <c r="BS34">
        <f t="shared" si="11"/>
        <v>8.9298827999525709</v>
      </c>
      <c r="BV34" t="s">
        <v>303</v>
      </c>
      <c r="BW34" s="1" t="s">
        <v>88</v>
      </c>
      <c r="BX34">
        <v>3</v>
      </c>
      <c r="BZ34">
        <v>1</v>
      </c>
      <c r="CA34">
        <f t="shared" si="32"/>
        <v>4</v>
      </c>
      <c r="CB34">
        <f>CA34/CA49*100</f>
        <v>4.3941557728221468E-2</v>
      </c>
      <c r="CC34">
        <f t="shared" si="33"/>
        <v>4.4414834554741284E-4</v>
      </c>
      <c r="CD34">
        <f t="shared" si="34"/>
        <v>1.9726775285250406E-7</v>
      </c>
      <c r="CE34">
        <f t="shared" si="35"/>
        <v>-7.7193519397416264</v>
      </c>
      <c r="CF34">
        <f t="shared" si="36"/>
        <v>-3.4285373927344554E-3</v>
      </c>
      <c r="CG34">
        <f t="shared" si="37"/>
        <v>-9.0066755378182244E-4</v>
      </c>
      <c r="CH34">
        <f t="shared" si="38"/>
        <v>4.8264299747314352</v>
      </c>
      <c r="CK34" t="s">
        <v>303</v>
      </c>
      <c r="CL34" t="s">
        <v>234</v>
      </c>
      <c r="CN34">
        <v>1</v>
      </c>
      <c r="CO34">
        <v>1</v>
      </c>
      <c r="CP34">
        <f t="shared" si="39"/>
        <v>2</v>
      </c>
      <c r="CQ34" s="36">
        <f t="shared" si="40"/>
        <v>0.17921146953405018</v>
      </c>
      <c r="CR34">
        <f t="shared" si="41"/>
        <v>1.7841213202497771E-3</v>
      </c>
      <c r="CS34">
        <f t="shared" si="42"/>
        <v>3.1830888853698077E-6</v>
      </c>
      <c r="CT34">
        <f t="shared" si="43"/>
        <v>-6.3288292425122146</v>
      </c>
      <c r="CU34">
        <f t="shared" si="44"/>
        <v>-1.1291399183786289E-2</v>
      </c>
      <c r="CV34">
        <f t="shared" si="45"/>
        <v>-3.0020734968801742E-3</v>
      </c>
      <c r="CW34">
        <f t="shared" si="46"/>
        <v>5.9850321673386508</v>
      </c>
      <c r="CZ34" t="s">
        <v>303</v>
      </c>
      <c r="DA34" t="s">
        <v>234</v>
      </c>
      <c r="DB34">
        <v>1</v>
      </c>
      <c r="DD34">
        <v>1</v>
      </c>
      <c r="DE34">
        <f t="shared" si="47"/>
        <v>2</v>
      </c>
      <c r="DF34" s="36">
        <f t="shared" si="48"/>
        <v>0.26954177897574128</v>
      </c>
      <c r="DG34">
        <f t="shared" si="49"/>
        <v>2.6881720430107529E-3</v>
      </c>
      <c r="DH34">
        <f t="shared" si="50"/>
        <v>7.2262689328246053E-6</v>
      </c>
      <c r="DI34">
        <f t="shared" si="51"/>
        <v>-5.9188938542731462</v>
      </c>
      <c r="DJ34">
        <f t="shared" si="52"/>
        <v>-1.5911004984605234E-2</v>
      </c>
      <c r="DK34">
        <f t="shared" si="53"/>
        <v>-3.9353953068042924E-3</v>
      </c>
      <c r="DL34">
        <f t="shared" si="54"/>
        <v>8.4693969237312228</v>
      </c>
      <c r="DN34" t="s">
        <v>315</v>
      </c>
      <c r="DO34" t="s">
        <v>554</v>
      </c>
      <c r="DP34">
        <v>4</v>
      </c>
      <c r="DQ34">
        <f t="shared" si="55"/>
        <v>1.03359173126615</v>
      </c>
      <c r="DR34">
        <f t="shared" si="56"/>
        <v>1.0335917312661499E-2</v>
      </c>
      <c r="DS34">
        <f t="shared" si="57"/>
        <v>1.0683118669417571E-4</v>
      </c>
      <c r="DT34">
        <f t="shared" si="58"/>
        <v>-4.5721303319098912</v>
      </c>
      <c r="DU34">
        <f t="shared" si="59"/>
        <v>-4.7257161053332213E-2</v>
      </c>
      <c r="DV34">
        <f t="shared" si="60"/>
        <v>-1.3087298630592922E-2</v>
      </c>
      <c r="DW34">
        <f t="shared" si="61"/>
        <v>6.0418654014563815</v>
      </c>
      <c r="DY34" t="s">
        <v>568</v>
      </c>
      <c r="DZ34" s="1" t="s">
        <v>218</v>
      </c>
      <c r="EB34">
        <v>1</v>
      </c>
      <c r="ED34">
        <f t="shared" si="62"/>
        <v>1</v>
      </c>
      <c r="EE34">
        <f t="shared" si="63"/>
        <v>8.3822296730930432E-2</v>
      </c>
      <c r="EF34">
        <f t="shared" si="64"/>
        <v>8.3822296730930428E-4</v>
      </c>
      <c r="EG34">
        <f t="shared" si="65"/>
        <v>7.0261774292481497E-7</v>
      </c>
      <c r="EH34">
        <f t="shared" si="66"/>
        <v>-7.0842264220979159</v>
      </c>
      <c r="EI34">
        <f t="shared" si="67"/>
        <v>-5.9381612926218911E-3</v>
      </c>
      <c r="EJ34">
        <f t="shared" si="68"/>
        <v>-1.5339325640518077E-3</v>
      </c>
      <c r="EK34">
        <f t="shared" si="69"/>
        <v>6.6344576245322022</v>
      </c>
      <c r="EM34" t="s">
        <v>303</v>
      </c>
      <c r="EN34" s="1" t="s">
        <v>440</v>
      </c>
      <c r="EP34">
        <v>1</v>
      </c>
      <c r="ES34">
        <f t="shared" si="70"/>
        <v>1</v>
      </c>
      <c r="ET34">
        <f t="shared" si="71"/>
        <v>1.2521913348359628E-2</v>
      </c>
      <c r="EU34">
        <f t="shared" si="72"/>
        <v>1.2521913348359628E-4</v>
      </c>
      <c r="EV34">
        <f t="shared" si="73"/>
        <v>1.5679831390382703E-8</v>
      </c>
      <c r="EW34">
        <f t="shared" si="74"/>
        <v>-8.9854452876231665</v>
      </c>
      <c r="EX34">
        <f t="shared" si="75"/>
        <v>-1.1251496728804365E-3</v>
      </c>
      <c r="EY34">
        <f t="shared" si="76"/>
        <v>-2.8910627590556176E-4</v>
      </c>
      <c r="EZ34">
        <f t="shared" si="77"/>
        <v>5.3419723189586055</v>
      </c>
      <c r="FB34" t="s">
        <v>325</v>
      </c>
      <c r="FC34" t="s">
        <v>325</v>
      </c>
      <c r="FD34">
        <v>1</v>
      </c>
      <c r="FE34">
        <v>2</v>
      </c>
      <c r="FF34">
        <v>2</v>
      </c>
      <c r="FG34">
        <v>1</v>
      </c>
      <c r="FH34">
        <f t="shared" si="78"/>
        <v>6</v>
      </c>
      <c r="FI34">
        <f t="shared" si="79"/>
        <v>0.10621348911311736</v>
      </c>
      <c r="FJ34">
        <f t="shared" si="80"/>
        <v>1.0621348911311736E-3</v>
      </c>
      <c r="FK34">
        <f t="shared" si="81"/>
        <v>1.12813052695823E-6</v>
      </c>
      <c r="FL34">
        <f t="shared" si="82"/>
        <v>-6.8474743480972071</v>
      </c>
      <c r="FM34">
        <f t="shared" si="83"/>
        <v>-7.2729414212397312E-3</v>
      </c>
      <c r="FN34">
        <f t="shared" si="84"/>
        <v>-1.859125422102101E-3</v>
      </c>
    </row>
    <row r="35" spans="6:170" x14ac:dyDescent="0.25">
      <c r="L35" t="s">
        <v>303</v>
      </c>
      <c r="M35" t="s">
        <v>87</v>
      </c>
      <c r="N35">
        <v>14</v>
      </c>
      <c r="O35">
        <f>N35/N46*100</f>
        <v>1.4814814814814816</v>
      </c>
      <c r="P35">
        <f t="shared" si="12"/>
        <v>1.4814814814814815E-2</v>
      </c>
      <c r="Q35">
        <f t="shared" si="13"/>
        <v>2.1947873799725654E-4</v>
      </c>
      <c r="R35">
        <f t="shared" si="14"/>
        <v>-4.2121275978784842</v>
      </c>
      <c r="S35">
        <f t="shared" si="15"/>
        <v>-6.2401890338940509E-2</v>
      </c>
      <c r="T35">
        <f t="shared" si="16"/>
        <v>-1.6803737538428992E-2</v>
      </c>
      <c r="U35">
        <f t="shared" si="17"/>
        <v>5.838406118550437</v>
      </c>
      <c r="W35" t="s">
        <v>315</v>
      </c>
      <c r="X35" t="s">
        <v>203</v>
      </c>
      <c r="Y35">
        <v>2</v>
      </c>
      <c r="AC35" s="9">
        <f t="shared" si="87"/>
        <v>2</v>
      </c>
      <c r="AD35" s="9">
        <f t="shared" si="18"/>
        <v>0.18264840182648401</v>
      </c>
      <c r="AE35" s="9">
        <f t="shared" si="19"/>
        <v>1.8264840182648401E-3</v>
      </c>
      <c r="AF35" s="9">
        <f t="shared" si="20"/>
        <v>3.336043868976877E-6</v>
      </c>
      <c r="AG35" s="9">
        <f t="shared" si="21"/>
        <v>-6.3053624616906561</v>
      </c>
      <c r="AH35" s="9">
        <f t="shared" si="22"/>
        <v>-1.1516643765645034E-2</v>
      </c>
      <c r="AI35" s="9">
        <f t="shared" si="23"/>
        <v>-2.9749536986569702E-3</v>
      </c>
      <c r="AJ35" s="9">
        <f t="shared" si="24"/>
        <v>6.7608659905015571</v>
      </c>
      <c r="AK35" s="9"/>
      <c r="AL35" s="9"/>
      <c r="AM35" t="s">
        <v>568</v>
      </c>
      <c r="AN35" s="1" t="s">
        <v>218</v>
      </c>
      <c r="AO35" s="2">
        <f t="shared" si="25"/>
        <v>0.30959752321981426</v>
      </c>
      <c r="AP35">
        <v>3</v>
      </c>
      <c r="AQ35">
        <v>3</v>
      </c>
      <c r="AW35">
        <f t="shared" si="26"/>
        <v>3.0737704918032786E-3</v>
      </c>
      <c r="AX35">
        <f t="shared" si="27"/>
        <v>9.4480650362805687E-6</v>
      </c>
      <c r="AY35">
        <f t="shared" si="28"/>
        <v>-5.7848502977449829</v>
      </c>
      <c r="AZ35">
        <f t="shared" si="29"/>
        <v>-1.7781302144707939E-2</v>
      </c>
      <c r="BA35">
        <f t="shared" si="30"/>
        <v>-4.3254312178424683E-3</v>
      </c>
      <c r="BB35">
        <f t="shared" si="31"/>
        <v>8.7217468765167201</v>
      </c>
      <c r="BE35" t="s">
        <v>315</v>
      </c>
      <c r="BF35" s="1" t="s">
        <v>464</v>
      </c>
      <c r="BG35">
        <v>1</v>
      </c>
      <c r="BH35">
        <f>BG35/BG65*100</f>
        <v>0.12106537530266344</v>
      </c>
      <c r="BI35">
        <v>1</v>
      </c>
      <c r="BN35">
        <f t="shared" si="6"/>
        <v>1.2048192771084338E-3</v>
      </c>
      <c r="BO35">
        <f t="shared" si="7"/>
        <v>1.4515894904920891E-6</v>
      </c>
      <c r="BP35">
        <f t="shared" si="8"/>
        <v>-6.7214257007906433</v>
      </c>
      <c r="BQ35">
        <f t="shared" si="9"/>
        <v>-8.0981032539646312E-3</v>
      </c>
      <c r="BR35">
        <f t="shared" si="10"/>
        <v>-1.9699225813130474E-3</v>
      </c>
      <c r="BS35">
        <f t="shared" si="11"/>
        <v>8.9298827999525709</v>
      </c>
      <c r="BV35" t="s">
        <v>303</v>
      </c>
      <c r="BW35" s="1" t="s">
        <v>31</v>
      </c>
      <c r="BX35">
        <v>5</v>
      </c>
      <c r="CA35">
        <f t="shared" si="32"/>
        <v>5</v>
      </c>
      <c r="CB35">
        <f>CA35/CA49*100</f>
        <v>5.4926947160276837E-2</v>
      </c>
      <c r="CC35">
        <f t="shared" si="33"/>
        <v>5.5518543193426606E-4</v>
      </c>
      <c r="CD35">
        <f t="shared" si="34"/>
        <v>3.0823086383203756E-7</v>
      </c>
      <c r="CE35">
        <f t="shared" si="35"/>
        <v>-7.4962083884274167</v>
      </c>
      <c r="CF35">
        <f t="shared" si="36"/>
        <v>-4.1617856919983435E-3</v>
      </c>
      <c r="CG35">
        <f t="shared" si="37"/>
        <v>-1.0932899103039341E-3</v>
      </c>
      <c r="CH35">
        <f t="shared" si="38"/>
        <v>4.8264299747314352</v>
      </c>
      <c r="CK35" t="s">
        <v>571</v>
      </c>
      <c r="CL35" t="s">
        <v>544</v>
      </c>
      <c r="CM35">
        <v>1</v>
      </c>
      <c r="CP35">
        <f t="shared" si="39"/>
        <v>1</v>
      </c>
      <c r="CQ35" s="36">
        <f t="shared" si="40"/>
        <v>8.9605734767025089E-2</v>
      </c>
      <c r="CR35">
        <f t="shared" si="41"/>
        <v>8.9206066012488853E-4</v>
      </c>
      <c r="CS35">
        <f t="shared" si="42"/>
        <v>7.9577222134245192E-7</v>
      </c>
      <c r="CT35">
        <f t="shared" si="43"/>
        <v>-7.02197642307216</v>
      </c>
      <c r="CU35">
        <f t="shared" si="44"/>
        <v>-6.2640289233471544E-3</v>
      </c>
      <c r="CV35">
        <f t="shared" si="45"/>
        <v>-1.6654335665923674E-3</v>
      </c>
      <c r="CW35">
        <f t="shared" si="46"/>
        <v>5.9850321673386508</v>
      </c>
      <c r="CZ35" t="s">
        <v>571</v>
      </c>
      <c r="DA35" t="s">
        <v>175</v>
      </c>
      <c r="DC35">
        <v>1</v>
      </c>
      <c r="DD35">
        <v>1</v>
      </c>
      <c r="DE35">
        <f t="shared" si="47"/>
        <v>2</v>
      </c>
      <c r="DF35" s="36">
        <f t="shared" si="48"/>
        <v>0.26954177897574128</v>
      </c>
      <c r="DG35">
        <f t="shared" si="49"/>
        <v>2.6881720430107529E-3</v>
      </c>
      <c r="DH35">
        <f t="shared" si="50"/>
        <v>7.2262689328246053E-6</v>
      </c>
      <c r="DI35">
        <f t="shared" si="51"/>
        <v>-5.9188938542731462</v>
      </c>
      <c r="DJ35">
        <f t="shared" si="52"/>
        <v>-1.5911004984605234E-2</v>
      </c>
      <c r="DK35">
        <f t="shared" si="53"/>
        <v>-3.9353953068042924E-3</v>
      </c>
      <c r="DL35">
        <f t="shared" si="54"/>
        <v>8.4693969237312228</v>
      </c>
      <c r="DN35" t="s">
        <v>321</v>
      </c>
      <c r="DO35" t="s">
        <v>202</v>
      </c>
      <c r="DP35">
        <v>4</v>
      </c>
      <c r="DQ35">
        <f t="shared" si="55"/>
        <v>1.03359173126615</v>
      </c>
      <c r="DR35">
        <f t="shared" si="56"/>
        <v>1.0335917312661499E-2</v>
      </c>
      <c r="DS35">
        <f t="shared" si="57"/>
        <v>1.0683118669417571E-4</v>
      </c>
      <c r="DT35">
        <f t="shared" si="58"/>
        <v>-4.5721303319098912</v>
      </c>
      <c r="DU35">
        <f t="shared" si="59"/>
        <v>-4.7257161053332213E-2</v>
      </c>
      <c r="DV35">
        <f t="shared" si="60"/>
        <v>-1.3087298630592922E-2</v>
      </c>
      <c r="DW35">
        <f t="shared" si="61"/>
        <v>6.0418654014563815</v>
      </c>
      <c r="DY35" t="s">
        <v>325</v>
      </c>
      <c r="DZ35" t="s">
        <v>325</v>
      </c>
      <c r="EC35">
        <v>8</v>
      </c>
      <c r="ED35">
        <f t="shared" si="62"/>
        <v>8</v>
      </c>
      <c r="EE35">
        <f t="shared" si="63"/>
        <v>0.67057837384744345</v>
      </c>
      <c r="EF35">
        <f t="shared" si="64"/>
        <v>6.7057837384744343E-3</v>
      </c>
      <c r="EG35">
        <f t="shared" si="65"/>
        <v>4.4967535547188158E-5</v>
      </c>
      <c r="EH35">
        <f t="shared" si="66"/>
        <v>-5.0047848804180806</v>
      </c>
      <c r="EI35">
        <f t="shared" si="67"/>
        <v>-3.356100506567028E-2</v>
      </c>
      <c r="EJ35">
        <f t="shared" si="68"/>
        <v>-8.6694038803733948E-3</v>
      </c>
      <c r="EK35">
        <f t="shared" si="69"/>
        <v>6.6344576245322022</v>
      </c>
      <c r="EM35" t="s">
        <v>303</v>
      </c>
      <c r="EN35" s="1" t="s">
        <v>31</v>
      </c>
      <c r="EP35">
        <v>3</v>
      </c>
      <c r="ES35">
        <f t="shared" si="70"/>
        <v>3</v>
      </c>
      <c r="ET35">
        <f t="shared" si="71"/>
        <v>3.7565740045078892E-2</v>
      </c>
      <c r="EU35">
        <f t="shared" si="72"/>
        <v>3.756574004507889E-4</v>
      </c>
      <c r="EV35">
        <f t="shared" si="73"/>
        <v>1.4111848251344438E-7</v>
      </c>
      <c r="EW35">
        <f t="shared" si="74"/>
        <v>-7.8868329989550565</v>
      </c>
      <c r="EX35">
        <f t="shared" si="75"/>
        <v>-2.9627471821769562E-3</v>
      </c>
      <c r="EY35">
        <f t="shared" si="76"/>
        <v>-7.6127543289069384E-4</v>
      </c>
      <c r="EZ35">
        <f t="shared" si="77"/>
        <v>5.3419723189586055</v>
      </c>
      <c r="FB35" t="s">
        <v>303</v>
      </c>
      <c r="FC35" s="1" t="s">
        <v>14</v>
      </c>
      <c r="FF35">
        <v>1</v>
      </c>
      <c r="FH35">
        <f t="shared" si="78"/>
        <v>1</v>
      </c>
      <c r="FI35">
        <f t="shared" si="79"/>
        <v>1.7702248185519558E-2</v>
      </c>
      <c r="FJ35">
        <f t="shared" si="80"/>
        <v>1.770224818551956E-4</v>
      </c>
      <c r="FK35">
        <f t="shared" si="81"/>
        <v>3.1336959082173057E-8</v>
      </c>
      <c r="FL35">
        <f t="shared" si="82"/>
        <v>-8.6392338173252625</v>
      </c>
      <c r="FM35">
        <f t="shared" si="83"/>
        <v>-1.5293386116702534E-3</v>
      </c>
      <c r="FN35">
        <f t="shared" si="84"/>
        <v>-3.9093292895982777E-4</v>
      </c>
    </row>
    <row r="36" spans="6:170" x14ac:dyDescent="0.25">
      <c r="L36" t="s">
        <v>315</v>
      </c>
      <c r="M36" s="1" t="s">
        <v>61</v>
      </c>
      <c r="N36">
        <v>10</v>
      </c>
      <c r="O36">
        <f>N36/N46*100</f>
        <v>1.0582010582010581</v>
      </c>
      <c r="P36">
        <f t="shared" si="12"/>
        <v>1.0582010582010581E-2</v>
      </c>
      <c r="Q36">
        <f t="shared" si="13"/>
        <v>1.1197894795778393E-4</v>
      </c>
      <c r="R36">
        <f t="shared" si="14"/>
        <v>-4.5485998344996972</v>
      </c>
      <c r="S36">
        <f t="shared" si="15"/>
        <v>-4.8133331582007374E-2</v>
      </c>
      <c r="T36">
        <f t="shared" si="16"/>
        <v>-1.2961464249897907E-2</v>
      </c>
      <c r="U36">
        <f t="shared" si="17"/>
        <v>5.838406118550437</v>
      </c>
      <c r="W36" t="s">
        <v>303</v>
      </c>
      <c r="X36" t="s">
        <v>204</v>
      </c>
      <c r="Y36">
        <v>6</v>
      </c>
      <c r="Z36">
        <v>1</v>
      </c>
      <c r="AA36">
        <v>10</v>
      </c>
      <c r="AB36">
        <v>15</v>
      </c>
      <c r="AC36" s="9">
        <f>SUM(Y36:AB36)</f>
        <v>32</v>
      </c>
      <c r="AD36" s="9">
        <f t="shared" si="18"/>
        <v>2.9223744292237441</v>
      </c>
      <c r="AE36" s="9">
        <f t="shared" si="19"/>
        <v>2.9223744292237442E-2</v>
      </c>
      <c r="AF36" s="9">
        <f t="shared" si="20"/>
        <v>8.540272304580805E-4</v>
      </c>
      <c r="AG36" s="9">
        <f t="shared" si="21"/>
        <v>-3.5327737394508745</v>
      </c>
      <c r="AH36" s="9">
        <f t="shared" si="22"/>
        <v>-0.10324087640404382</v>
      </c>
      <c r="AI36" s="9">
        <f t="shared" si="23"/>
        <v>-2.6668952635924042E-2</v>
      </c>
      <c r="AJ36" s="9">
        <f t="shared" si="24"/>
        <v>6.7608659905015571</v>
      </c>
      <c r="AK36" s="9"/>
      <c r="AL36" s="9"/>
      <c r="AM36" t="s">
        <v>315</v>
      </c>
      <c r="AN36" s="1" t="s">
        <v>300</v>
      </c>
      <c r="AO36" s="2">
        <f t="shared" si="25"/>
        <v>0.10319917440660474</v>
      </c>
      <c r="AP36">
        <v>1</v>
      </c>
      <c r="AQ36">
        <v>1</v>
      </c>
      <c r="AW36">
        <f t="shared" si="26"/>
        <v>1.0245901639344263E-3</v>
      </c>
      <c r="AX36">
        <f t="shared" si="27"/>
        <v>1.0497850040311745E-6</v>
      </c>
      <c r="AY36">
        <f t="shared" si="28"/>
        <v>-6.8834625864130921</v>
      </c>
      <c r="AZ36">
        <f t="shared" si="29"/>
        <v>-7.0527280598494798E-3</v>
      </c>
      <c r="BA36">
        <f t="shared" si="30"/>
        <v>-1.7156274536454963E-3</v>
      </c>
      <c r="BB36">
        <f t="shared" si="31"/>
        <v>8.7217468765167201</v>
      </c>
      <c r="BE36" t="s">
        <v>303</v>
      </c>
      <c r="BF36" s="1" t="s">
        <v>465</v>
      </c>
      <c r="BG36">
        <v>4</v>
      </c>
      <c r="BH36">
        <f>BG36/BG65*100</f>
        <v>0.48426150121065376</v>
      </c>
      <c r="BI36">
        <v>1</v>
      </c>
      <c r="BJ36">
        <v>1</v>
      </c>
      <c r="BK36">
        <v>2</v>
      </c>
      <c r="BN36">
        <f t="shared" si="6"/>
        <v>4.8192771084337354E-3</v>
      </c>
      <c r="BO36">
        <f t="shared" si="7"/>
        <v>2.3225431847873425E-5</v>
      </c>
      <c r="BP36">
        <f t="shared" si="8"/>
        <v>-5.3351313396707525</v>
      </c>
      <c r="BQ36">
        <f t="shared" si="9"/>
        <v>-2.5711476335762665E-2</v>
      </c>
      <c r="BR36">
        <f t="shared" si="10"/>
        <v>-6.2545038318594075E-3</v>
      </c>
      <c r="BS36">
        <f t="shared" si="11"/>
        <v>8.9298827999525709</v>
      </c>
      <c r="BV36" t="s">
        <v>315</v>
      </c>
      <c r="BW36" s="1" t="s">
        <v>149</v>
      </c>
      <c r="BX36">
        <v>674</v>
      </c>
      <c r="BY36">
        <v>22</v>
      </c>
      <c r="BZ36">
        <v>65</v>
      </c>
      <c r="CA36">
        <f t="shared" si="32"/>
        <v>761</v>
      </c>
      <c r="CB36">
        <f>CA36/CA49*100</f>
        <v>8.3598813577941335</v>
      </c>
      <c r="CC36">
        <f t="shared" si="33"/>
        <v>8.4499222740395286E-2</v>
      </c>
      <c r="CD36">
        <f t="shared" si="34"/>
        <v>7.1401186437309357E-3</v>
      </c>
      <c r="CE36">
        <f t="shared" si="35"/>
        <v>-2.4710129429998311</v>
      </c>
      <c r="CF36">
        <f t="shared" si="36"/>
        <v>-0.2087986730649424</v>
      </c>
      <c r="CG36">
        <f t="shared" si="37"/>
        <v>-5.4850849957423085E-2</v>
      </c>
      <c r="CH36">
        <f t="shared" si="38"/>
        <v>4.8264299747314352</v>
      </c>
      <c r="CK36" t="s">
        <v>315</v>
      </c>
      <c r="CL36" s="1" t="s">
        <v>458</v>
      </c>
      <c r="CM36">
        <v>1</v>
      </c>
      <c r="CP36">
        <f t="shared" si="39"/>
        <v>1</v>
      </c>
      <c r="CQ36" s="36">
        <f t="shared" si="40"/>
        <v>8.9605734767025089E-2</v>
      </c>
      <c r="CR36">
        <f t="shared" si="41"/>
        <v>8.9206066012488853E-4</v>
      </c>
      <c r="CS36">
        <f t="shared" si="42"/>
        <v>7.9577222134245192E-7</v>
      </c>
      <c r="CT36">
        <f t="shared" si="43"/>
        <v>-7.02197642307216</v>
      </c>
      <c r="CU36">
        <f t="shared" si="44"/>
        <v>-6.2640289233471544E-3</v>
      </c>
      <c r="CV36">
        <f t="shared" si="45"/>
        <v>-1.6654335665923674E-3</v>
      </c>
      <c r="CW36">
        <f t="shared" si="46"/>
        <v>5.9850321673386508</v>
      </c>
      <c r="CZ36" t="s">
        <v>315</v>
      </c>
      <c r="DA36" s="1" t="s">
        <v>492</v>
      </c>
      <c r="DC36">
        <v>1</v>
      </c>
      <c r="DE36">
        <f t="shared" si="47"/>
        <v>1</v>
      </c>
      <c r="DF36" s="36">
        <f t="shared" si="48"/>
        <v>0.13477088948787064</v>
      </c>
      <c r="DG36">
        <f t="shared" si="49"/>
        <v>1.3440860215053765E-3</v>
      </c>
      <c r="DH36">
        <f t="shared" si="50"/>
        <v>1.8065672332061513E-6</v>
      </c>
      <c r="DI36">
        <f t="shared" si="51"/>
        <v>-6.6120410348330916</v>
      </c>
      <c r="DJ36">
        <f t="shared" si="52"/>
        <v>-8.8871519285391026E-3</v>
      </c>
      <c r="DK36">
        <f t="shared" si="53"/>
        <v>-2.1981299122380516E-3</v>
      </c>
      <c r="DL36">
        <f t="shared" si="54"/>
        <v>8.4693969237312228</v>
      </c>
      <c r="DN36" t="s">
        <v>303</v>
      </c>
      <c r="DO36" t="s">
        <v>546</v>
      </c>
      <c r="DP36">
        <v>4</v>
      </c>
      <c r="DQ36">
        <f t="shared" si="55"/>
        <v>1.03359173126615</v>
      </c>
      <c r="DR36">
        <f t="shared" si="56"/>
        <v>1.0335917312661499E-2</v>
      </c>
      <c r="DS36">
        <f t="shared" si="57"/>
        <v>1.0683118669417571E-4</v>
      </c>
      <c r="DT36">
        <f t="shared" si="58"/>
        <v>-4.5721303319098912</v>
      </c>
      <c r="DU36">
        <f t="shared" si="59"/>
        <v>-4.7257161053332213E-2</v>
      </c>
      <c r="DV36">
        <f t="shared" si="60"/>
        <v>-1.3087298630592922E-2</v>
      </c>
      <c r="DW36">
        <f t="shared" si="61"/>
        <v>6.0418654014563815</v>
      </c>
      <c r="DY36" t="s">
        <v>303</v>
      </c>
      <c r="DZ36" s="1" t="s">
        <v>501</v>
      </c>
      <c r="EC36">
        <v>1</v>
      </c>
      <c r="ED36">
        <f t="shared" si="62"/>
        <v>1</v>
      </c>
      <c r="EE36">
        <f t="shared" si="63"/>
        <v>8.3822296730930432E-2</v>
      </c>
      <c r="EF36">
        <f t="shared" si="64"/>
        <v>8.3822296730930428E-4</v>
      </c>
      <c r="EG36">
        <f t="shared" si="65"/>
        <v>7.0261774292481497E-7</v>
      </c>
      <c r="EH36">
        <f t="shared" si="66"/>
        <v>-7.0842264220979159</v>
      </c>
      <c r="EI36">
        <f t="shared" si="67"/>
        <v>-5.9381612926218911E-3</v>
      </c>
      <c r="EJ36">
        <f t="shared" si="68"/>
        <v>-1.5339325640518077E-3</v>
      </c>
      <c r="EK36">
        <f t="shared" si="69"/>
        <v>6.6344576245322022</v>
      </c>
      <c r="EM36" t="s">
        <v>303</v>
      </c>
      <c r="EN36" s="1" t="s">
        <v>331</v>
      </c>
      <c r="ER36">
        <v>1</v>
      </c>
      <c r="ES36">
        <f t="shared" si="70"/>
        <v>1</v>
      </c>
      <c r="ET36">
        <f t="shared" si="71"/>
        <v>1.2521913348359628E-2</v>
      </c>
      <c r="EU36">
        <f t="shared" si="72"/>
        <v>1.2521913348359628E-4</v>
      </c>
      <c r="EV36">
        <f t="shared" si="73"/>
        <v>1.5679831390382703E-8</v>
      </c>
      <c r="EW36">
        <f t="shared" si="74"/>
        <v>-8.9854452876231665</v>
      </c>
      <c r="EX36">
        <f t="shared" si="75"/>
        <v>-1.1251496728804365E-3</v>
      </c>
      <c r="EY36">
        <f t="shared" si="76"/>
        <v>-2.8910627590556176E-4</v>
      </c>
      <c r="EZ36">
        <f t="shared" si="77"/>
        <v>5.3419723189586055</v>
      </c>
      <c r="FB36" t="s">
        <v>303</v>
      </c>
      <c r="FC36" s="1" t="s">
        <v>332</v>
      </c>
      <c r="FF36">
        <v>1</v>
      </c>
      <c r="FH36">
        <f t="shared" si="78"/>
        <v>1</v>
      </c>
      <c r="FI36">
        <f t="shared" si="79"/>
        <v>1.7702248185519558E-2</v>
      </c>
      <c r="FJ36">
        <f t="shared" si="80"/>
        <v>1.770224818551956E-4</v>
      </c>
      <c r="FK36">
        <f t="shared" si="81"/>
        <v>3.1336959082173057E-8</v>
      </c>
      <c r="FL36">
        <f t="shared" si="82"/>
        <v>-8.6392338173252625</v>
      </c>
      <c r="FM36">
        <f t="shared" si="83"/>
        <v>-1.5293386116702534E-3</v>
      </c>
      <c r="FN36">
        <f t="shared" si="84"/>
        <v>-3.9093292895982777E-4</v>
      </c>
    </row>
    <row r="37" spans="6:170" x14ac:dyDescent="0.25">
      <c r="L37" t="s">
        <v>315</v>
      </c>
      <c r="M37" s="1" t="s">
        <v>352</v>
      </c>
      <c r="N37">
        <v>25</v>
      </c>
      <c r="O37">
        <f>N37/N46*100</f>
        <v>2.6455026455026456</v>
      </c>
      <c r="P37">
        <f t="shared" si="12"/>
        <v>2.6455026455026454E-2</v>
      </c>
      <c r="Q37">
        <f t="shared" si="13"/>
        <v>6.9986842473614955E-4</v>
      </c>
      <c r="R37">
        <f t="shared" si="14"/>
        <v>-3.6323091026255421</v>
      </c>
      <c r="S37">
        <f t="shared" si="15"/>
        <v>-9.6092833402792108E-2</v>
      </c>
      <c r="T37">
        <f t="shared" si="16"/>
        <v>-2.5876119185717548E-2</v>
      </c>
      <c r="U37">
        <f t="shared" si="17"/>
        <v>5.838406118550437</v>
      </c>
      <c r="W37" t="s">
        <v>303</v>
      </c>
      <c r="X37" t="s">
        <v>205</v>
      </c>
      <c r="Y37">
        <v>2</v>
      </c>
      <c r="AC37" s="9">
        <f t="shared" ref="AC37:AC50" si="88">SUM(Y37:AA37)</f>
        <v>2</v>
      </c>
      <c r="AD37" s="9">
        <f t="shared" si="18"/>
        <v>0.18264840182648401</v>
      </c>
      <c r="AE37" s="9">
        <f t="shared" si="19"/>
        <v>1.8264840182648401E-3</v>
      </c>
      <c r="AF37" s="9">
        <f t="shared" si="20"/>
        <v>3.336043868976877E-6</v>
      </c>
      <c r="AG37" s="9">
        <f t="shared" si="21"/>
        <v>-6.3053624616906561</v>
      </c>
      <c r="AH37" s="9">
        <f t="shared" si="22"/>
        <v>-1.1516643765645034E-2</v>
      </c>
      <c r="AI37" s="9">
        <f t="shared" si="23"/>
        <v>-2.9749536986569702E-3</v>
      </c>
      <c r="AJ37" s="9">
        <f t="shared" si="24"/>
        <v>6.7608659905015571</v>
      </c>
      <c r="AK37" s="9"/>
      <c r="AL37" s="9"/>
      <c r="AM37" t="s">
        <v>315</v>
      </c>
      <c r="AN37" s="1" t="s">
        <v>130</v>
      </c>
      <c r="AO37" s="2">
        <f t="shared" si="25"/>
        <v>0.30959752321981426</v>
      </c>
      <c r="AP37">
        <v>3</v>
      </c>
      <c r="AQ37">
        <v>1</v>
      </c>
      <c r="AW37">
        <f t="shared" si="26"/>
        <v>3.0737704918032786E-3</v>
      </c>
      <c r="AX37">
        <f t="shared" si="27"/>
        <v>9.4480650362805687E-6</v>
      </c>
      <c r="AY37">
        <f t="shared" si="28"/>
        <v>-5.7848502977449829</v>
      </c>
      <c r="AZ37">
        <f t="shared" si="29"/>
        <v>-1.7781302144707939E-2</v>
      </c>
      <c r="BA37">
        <f t="shared" si="30"/>
        <v>-4.3254312178424683E-3</v>
      </c>
      <c r="BB37">
        <f t="shared" si="31"/>
        <v>8.7217468765167201</v>
      </c>
      <c r="BE37" t="s">
        <v>303</v>
      </c>
      <c r="BF37" s="1" t="s">
        <v>466</v>
      </c>
      <c r="BG37">
        <v>6</v>
      </c>
      <c r="BH37">
        <f>BG37/BG65*100</f>
        <v>0.72639225181598066</v>
      </c>
      <c r="BI37">
        <v>1</v>
      </c>
      <c r="BJ37">
        <v>3</v>
      </c>
      <c r="BK37">
        <v>1</v>
      </c>
      <c r="BL37">
        <v>1</v>
      </c>
      <c r="BN37">
        <f t="shared" ref="BN37:BN64" si="89">BG37/830</f>
        <v>7.2289156626506026E-3</v>
      </c>
      <c r="BO37">
        <f t="shared" ref="BO37:BO64" si="90">BN37^2</f>
        <v>5.2257221657715204E-5</v>
      </c>
      <c r="BP37">
        <f t="shared" ref="BP37:BP64" si="91">LN(BN37)</f>
        <v>-4.9296662315625888</v>
      </c>
      <c r="BQ37">
        <f t="shared" ref="BQ37:BQ64" si="92">BN37*BP37</f>
        <v>-3.563614143298257E-2</v>
      </c>
      <c r="BR37">
        <f t="shared" ref="BR37:BR64" si="93">BQ37/LN(61)</f>
        <v>-8.6687508813041454E-3</v>
      </c>
      <c r="BS37">
        <f t="shared" ref="BS37:BS64" si="94">((61-1)/(LN(828)))</f>
        <v>8.9298827999525709</v>
      </c>
      <c r="BV37" t="s">
        <v>303</v>
      </c>
      <c r="BW37" s="1" t="s">
        <v>32</v>
      </c>
      <c r="BX37">
        <v>1</v>
      </c>
      <c r="BY37">
        <v>1</v>
      </c>
      <c r="CA37">
        <f t="shared" si="32"/>
        <v>2</v>
      </c>
      <c r="CB37">
        <f>CA37/CA49*100</f>
        <v>2.1970778864110734E-2</v>
      </c>
      <c r="CC37">
        <f t="shared" si="33"/>
        <v>2.2207417277370642E-4</v>
      </c>
      <c r="CD37">
        <f t="shared" si="34"/>
        <v>4.9316938213126014E-8</v>
      </c>
      <c r="CE37">
        <f t="shared" si="35"/>
        <v>-8.4124991203015718</v>
      </c>
      <c r="CF37">
        <f t="shared" si="36"/>
        <v>-1.8681987831005045E-3</v>
      </c>
      <c r="CG37">
        <f t="shared" si="37"/>
        <v>-4.9077079675987375E-4</v>
      </c>
      <c r="CH37">
        <f t="shared" si="38"/>
        <v>4.8264299747314352</v>
      </c>
      <c r="CK37" t="s">
        <v>315</v>
      </c>
      <c r="CL37" s="1" t="s">
        <v>26</v>
      </c>
      <c r="CM37">
        <v>20</v>
      </c>
      <c r="CP37">
        <f t="shared" si="39"/>
        <v>20</v>
      </c>
      <c r="CQ37" s="15">
        <f t="shared" si="40"/>
        <v>1.7921146953405016</v>
      </c>
      <c r="CR37">
        <f t="shared" si="41"/>
        <v>1.784121320249777E-2</v>
      </c>
      <c r="CS37">
        <f t="shared" si="42"/>
        <v>3.1830888853698076E-4</v>
      </c>
      <c r="CT37">
        <f t="shared" si="43"/>
        <v>-4.0262441495181687</v>
      </c>
      <c r="CU37">
        <f t="shared" si="44"/>
        <v>-7.1833080276862957E-2</v>
      </c>
      <c r="CV37">
        <f t="shared" si="45"/>
        <v>-1.9098446790198769E-2</v>
      </c>
      <c r="CW37">
        <f t="shared" si="46"/>
        <v>5.9850321673386508</v>
      </c>
      <c r="CZ37" t="s">
        <v>315</v>
      </c>
      <c r="DA37" s="1" t="s">
        <v>26</v>
      </c>
      <c r="DB37">
        <v>2</v>
      </c>
      <c r="DE37">
        <f t="shared" si="47"/>
        <v>2</v>
      </c>
      <c r="DF37" s="15">
        <f t="shared" si="48"/>
        <v>0.26954177897574128</v>
      </c>
      <c r="DG37">
        <f t="shared" si="49"/>
        <v>2.6881720430107529E-3</v>
      </c>
      <c r="DH37">
        <f t="shared" si="50"/>
        <v>7.2262689328246053E-6</v>
      </c>
      <c r="DI37">
        <f t="shared" si="51"/>
        <v>-5.9188938542731462</v>
      </c>
      <c r="DJ37">
        <f t="shared" si="52"/>
        <v>-1.5911004984605234E-2</v>
      </c>
      <c r="DK37">
        <f t="shared" si="53"/>
        <v>-3.9353953068042924E-3</v>
      </c>
      <c r="DL37">
        <f t="shared" si="54"/>
        <v>8.4693969237312228</v>
      </c>
      <c r="DN37" t="s">
        <v>568</v>
      </c>
      <c r="DO37" t="s">
        <v>552</v>
      </c>
      <c r="DP37">
        <v>8</v>
      </c>
      <c r="DQ37">
        <f t="shared" si="55"/>
        <v>2.0671834625323</v>
      </c>
      <c r="DR37">
        <f t="shared" si="56"/>
        <v>2.0671834625322998E-2</v>
      </c>
      <c r="DS37">
        <f t="shared" si="57"/>
        <v>4.2732474677670284E-4</v>
      </c>
      <c r="DT37">
        <f t="shared" si="58"/>
        <v>-3.8789831513499458</v>
      </c>
      <c r="DU37">
        <f t="shared" si="59"/>
        <v>-8.0185698219120333E-2</v>
      </c>
      <c r="DV37">
        <f t="shared" si="60"/>
        <v>-2.2206458346321553E-2</v>
      </c>
      <c r="DW37">
        <f t="shared" si="61"/>
        <v>6.0418654014563815</v>
      </c>
      <c r="DY37" t="s">
        <v>303</v>
      </c>
      <c r="DZ37" s="1" t="s">
        <v>289</v>
      </c>
      <c r="EA37">
        <v>1</v>
      </c>
      <c r="ED37">
        <f t="shared" si="62"/>
        <v>1</v>
      </c>
      <c r="EE37">
        <f t="shared" si="63"/>
        <v>8.3822296730930432E-2</v>
      </c>
      <c r="EF37">
        <f t="shared" si="64"/>
        <v>8.3822296730930428E-4</v>
      </c>
      <c r="EG37">
        <f t="shared" si="65"/>
        <v>7.0261774292481497E-7</v>
      </c>
      <c r="EH37">
        <f t="shared" si="66"/>
        <v>-7.0842264220979159</v>
      </c>
      <c r="EI37">
        <f t="shared" si="67"/>
        <v>-5.9381612926218911E-3</v>
      </c>
      <c r="EJ37">
        <f t="shared" si="68"/>
        <v>-1.5339325640518077E-3</v>
      </c>
      <c r="EK37">
        <f t="shared" si="69"/>
        <v>6.6344576245322022</v>
      </c>
      <c r="EM37" t="s">
        <v>303</v>
      </c>
      <c r="EN37" t="s">
        <v>231</v>
      </c>
      <c r="EP37">
        <v>3</v>
      </c>
      <c r="ES37">
        <f t="shared" si="70"/>
        <v>3</v>
      </c>
      <c r="ET37">
        <f t="shared" si="71"/>
        <v>3.7565740045078892E-2</v>
      </c>
      <c r="EU37">
        <f t="shared" si="72"/>
        <v>3.756574004507889E-4</v>
      </c>
      <c r="EV37">
        <f t="shared" si="73"/>
        <v>1.4111848251344438E-7</v>
      </c>
      <c r="EW37">
        <f t="shared" si="74"/>
        <v>-7.8868329989550565</v>
      </c>
      <c r="EX37">
        <f t="shared" si="75"/>
        <v>-2.9627471821769562E-3</v>
      </c>
      <c r="EY37">
        <f t="shared" si="76"/>
        <v>-7.6127543289069384E-4</v>
      </c>
      <c r="EZ37">
        <f t="shared" si="77"/>
        <v>5.3419723189586055</v>
      </c>
      <c r="FB37" t="s">
        <v>303</v>
      </c>
      <c r="FC37" t="s">
        <v>405</v>
      </c>
      <c r="FF37">
        <v>1</v>
      </c>
      <c r="FG37">
        <v>3</v>
      </c>
      <c r="FH37">
        <f t="shared" si="78"/>
        <v>4</v>
      </c>
      <c r="FI37">
        <f t="shared" si="79"/>
        <v>7.0808992742078233E-2</v>
      </c>
      <c r="FJ37">
        <f t="shared" si="80"/>
        <v>7.0808992742078239E-4</v>
      </c>
      <c r="FK37">
        <f t="shared" si="81"/>
        <v>5.013913453147689E-7</v>
      </c>
      <c r="FL37">
        <f t="shared" si="82"/>
        <v>-7.2529394562053717</v>
      </c>
      <c r="FM37">
        <f t="shared" si="83"/>
        <v>-5.1357333731317902E-3</v>
      </c>
      <c r="FN37">
        <f t="shared" si="84"/>
        <v>-1.3128075591594627E-3</v>
      </c>
    </row>
    <row r="38" spans="6:170" x14ac:dyDescent="0.25">
      <c r="L38" t="s">
        <v>303</v>
      </c>
      <c r="M38" s="1" t="s">
        <v>440</v>
      </c>
      <c r="N38">
        <v>1</v>
      </c>
      <c r="O38">
        <f>N38/N46*100</f>
        <v>0.10582010582010583</v>
      </c>
      <c r="P38">
        <f t="shared" si="12"/>
        <v>1.0582010582010583E-3</v>
      </c>
      <c r="Q38">
        <f t="shared" si="13"/>
        <v>1.1197894795778394E-6</v>
      </c>
      <c r="R38">
        <f t="shared" si="14"/>
        <v>-6.8511849274937431</v>
      </c>
      <c r="S38">
        <f t="shared" si="15"/>
        <v>-7.2499311402050197E-3</v>
      </c>
      <c r="T38">
        <f t="shared" si="16"/>
        <v>-1.9522796407285378E-3</v>
      </c>
      <c r="U38">
        <f t="shared" si="17"/>
        <v>5.838406118550437</v>
      </c>
      <c r="W38" t="s">
        <v>315</v>
      </c>
      <c r="X38" s="1" t="s">
        <v>206</v>
      </c>
      <c r="Y38">
        <v>7</v>
      </c>
      <c r="AC38" s="9">
        <f t="shared" si="88"/>
        <v>7</v>
      </c>
      <c r="AD38" s="15">
        <f>AC38/1095*100</f>
        <v>0.63926940639269414</v>
      </c>
      <c r="AE38" s="9">
        <f t="shared" si="19"/>
        <v>6.392694063926941E-3</v>
      </c>
      <c r="AF38" s="9">
        <f t="shared" si="20"/>
        <v>4.0866537394966747E-5</v>
      </c>
      <c r="AG38" s="9">
        <f t="shared" si="21"/>
        <v>-5.052599493195288</v>
      </c>
      <c r="AH38" s="9">
        <f t="shared" si="22"/>
        <v>-3.2299722787549785E-2</v>
      </c>
      <c r="AI38" s="9">
        <f t="shared" si="23"/>
        <v>-8.3435922589756486E-3</v>
      </c>
      <c r="AJ38" s="9">
        <f t="shared" si="24"/>
        <v>6.7608659905015571</v>
      </c>
      <c r="AK38" s="9"/>
      <c r="AL38" s="9"/>
      <c r="AM38" t="s">
        <v>305</v>
      </c>
      <c r="AN38" s="1" t="s">
        <v>449</v>
      </c>
      <c r="AO38" s="2">
        <f t="shared" si="25"/>
        <v>0.20639834881320948</v>
      </c>
      <c r="AP38">
        <v>2</v>
      </c>
      <c r="AQ38">
        <v>1</v>
      </c>
      <c r="AR38">
        <v>1</v>
      </c>
      <c r="AW38">
        <f t="shared" si="26"/>
        <v>2.0491803278688526E-3</v>
      </c>
      <c r="AX38">
        <f t="shared" si="27"/>
        <v>4.1991400161246981E-6</v>
      </c>
      <c r="AY38">
        <f t="shared" si="28"/>
        <v>-6.1903154058531475</v>
      </c>
      <c r="AZ38">
        <f t="shared" si="29"/>
        <v>-1.2685072552977761E-2</v>
      </c>
      <c r="BA38">
        <f t="shared" si="30"/>
        <v>-3.0857362624354579E-3</v>
      </c>
      <c r="BB38">
        <f t="shared" si="31"/>
        <v>8.7217468765167201</v>
      </c>
      <c r="BE38" t="s">
        <v>315</v>
      </c>
      <c r="BF38" s="1" t="s">
        <v>137</v>
      </c>
      <c r="BG38">
        <v>6</v>
      </c>
      <c r="BH38">
        <f>BG38/BG65*100</f>
        <v>0.72639225181598066</v>
      </c>
      <c r="BI38">
        <v>1</v>
      </c>
      <c r="BJ38">
        <v>1</v>
      </c>
      <c r="BK38">
        <v>4</v>
      </c>
      <c r="BN38">
        <f t="shared" si="89"/>
        <v>7.2289156626506026E-3</v>
      </c>
      <c r="BO38">
        <f t="shared" si="90"/>
        <v>5.2257221657715204E-5</v>
      </c>
      <c r="BP38">
        <f t="shared" si="91"/>
        <v>-4.9296662315625888</v>
      </c>
      <c r="BQ38">
        <f t="shared" si="92"/>
        <v>-3.563614143298257E-2</v>
      </c>
      <c r="BR38">
        <f t="shared" si="93"/>
        <v>-8.6687508813041454E-3</v>
      </c>
      <c r="BS38">
        <f t="shared" si="94"/>
        <v>8.9298827999525709</v>
      </c>
      <c r="BV38" t="s">
        <v>303</v>
      </c>
      <c r="BW38" s="1" t="s">
        <v>68</v>
      </c>
      <c r="BZ38">
        <v>4</v>
      </c>
      <c r="CA38">
        <f t="shared" si="32"/>
        <v>4</v>
      </c>
      <c r="CB38">
        <f>CA38/CA49*100</f>
        <v>4.3941557728221468E-2</v>
      </c>
      <c r="CC38">
        <f t="shared" si="33"/>
        <v>4.4414834554741284E-4</v>
      </c>
      <c r="CD38">
        <f t="shared" si="34"/>
        <v>1.9726775285250406E-7</v>
      </c>
      <c r="CE38">
        <f t="shared" si="35"/>
        <v>-7.7193519397416264</v>
      </c>
      <c r="CF38">
        <f t="shared" si="36"/>
        <v>-3.4285373927344554E-3</v>
      </c>
      <c r="CG38">
        <f t="shared" si="37"/>
        <v>-9.0066755378182244E-4</v>
      </c>
      <c r="CH38">
        <f t="shared" si="38"/>
        <v>4.8264299747314352</v>
      </c>
      <c r="CK38" t="s">
        <v>303</v>
      </c>
      <c r="CL38" s="1" t="s">
        <v>40</v>
      </c>
      <c r="CM38">
        <v>5</v>
      </c>
      <c r="CP38">
        <f t="shared" si="39"/>
        <v>5</v>
      </c>
      <c r="CQ38" s="36">
        <f t="shared" si="40"/>
        <v>0.4480286738351254</v>
      </c>
      <c r="CR38">
        <f t="shared" si="41"/>
        <v>4.4603033006244425E-3</v>
      </c>
      <c r="CS38">
        <f t="shared" si="42"/>
        <v>1.9894305533561297E-5</v>
      </c>
      <c r="CT38">
        <f t="shared" si="43"/>
        <v>-5.4125385106380595</v>
      </c>
      <c r="CU38">
        <f t="shared" si="44"/>
        <v>-2.4141563383755841E-2</v>
      </c>
      <c r="CV38">
        <f t="shared" si="45"/>
        <v>-6.4185798790724951E-3</v>
      </c>
      <c r="CW38">
        <f t="shared" si="46"/>
        <v>5.9850321673386508</v>
      </c>
      <c r="CZ38" t="s">
        <v>303</v>
      </c>
      <c r="DA38" s="1" t="s">
        <v>40</v>
      </c>
      <c r="DC38">
        <v>10</v>
      </c>
      <c r="DD38">
        <v>2</v>
      </c>
      <c r="DE38">
        <f t="shared" si="47"/>
        <v>12</v>
      </c>
      <c r="DF38" s="36">
        <f t="shared" si="48"/>
        <v>1.6172506738544474</v>
      </c>
      <c r="DG38">
        <f t="shared" si="49"/>
        <v>1.6129032258064516E-2</v>
      </c>
      <c r="DH38">
        <f t="shared" si="50"/>
        <v>2.6014568158168571E-4</v>
      </c>
      <c r="DI38">
        <f t="shared" si="51"/>
        <v>-4.1271343850450917</v>
      </c>
      <c r="DJ38">
        <f t="shared" si="52"/>
        <v>-6.6566683629759538E-2</v>
      </c>
      <c r="DK38">
        <f t="shared" si="53"/>
        <v>-1.6464466864258318E-2</v>
      </c>
      <c r="DL38">
        <f t="shared" si="54"/>
        <v>8.4693969237312228</v>
      </c>
      <c r="DN38" t="s">
        <v>568</v>
      </c>
      <c r="DO38" t="s">
        <v>553</v>
      </c>
      <c r="DP38">
        <v>69</v>
      </c>
      <c r="DQ38">
        <f t="shared" si="55"/>
        <v>17.829457364341085</v>
      </c>
      <c r="DR38">
        <f t="shared" si="56"/>
        <v>0.17829457364341086</v>
      </c>
      <c r="DS38">
        <f t="shared" si="57"/>
        <v>3.178895499068566E-2</v>
      </c>
      <c r="DT38">
        <f t="shared" si="58"/>
        <v>-1.7243181884325223</v>
      </c>
      <c r="DU38">
        <f t="shared" si="59"/>
        <v>-0.30743657623215515</v>
      </c>
      <c r="DV38">
        <f t="shared" si="60"/>
        <v>-8.514083777856464E-2</v>
      </c>
      <c r="DW38">
        <f t="shared" si="61"/>
        <v>6.0418654014563815</v>
      </c>
      <c r="DY38" t="s">
        <v>303</v>
      </c>
      <c r="DZ38" s="1" t="s">
        <v>31</v>
      </c>
      <c r="EA38">
        <v>4</v>
      </c>
      <c r="ED38">
        <f t="shared" si="62"/>
        <v>4</v>
      </c>
      <c r="EE38">
        <f t="shared" si="63"/>
        <v>0.33528918692372173</v>
      </c>
      <c r="EF38">
        <f t="shared" si="64"/>
        <v>3.3528918692372171E-3</v>
      </c>
      <c r="EG38">
        <f t="shared" si="65"/>
        <v>1.1241883886797039E-5</v>
      </c>
      <c r="EH38">
        <f t="shared" si="66"/>
        <v>-5.6979320609780251</v>
      </c>
      <c r="EI38">
        <f t="shared" si="67"/>
        <v>-1.9104550078719279E-2</v>
      </c>
      <c r="EJ38">
        <f t="shared" si="68"/>
        <v>-4.9350447121935407E-3</v>
      </c>
      <c r="EK38">
        <f t="shared" si="69"/>
        <v>6.6344576245322022</v>
      </c>
      <c r="EM38" t="s">
        <v>303</v>
      </c>
      <c r="EN38" t="s">
        <v>496</v>
      </c>
      <c r="EQ38">
        <v>1</v>
      </c>
      <c r="ES38">
        <f t="shared" si="70"/>
        <v>1</v>
      </c>
      <c r="ET38">
        <f t="shared" si="71"/>
        <v>1.2521913348359628E-2</v>
      </c>
      <c r="EU38">
        <f t="shared" si="72"/>
        <v>1.2521913348359628E-4</v>
      </c>
      <c r="EV38">
        <f t="shared" si="73"/>
        <v>1.5679831390382703E-8</v>
      </c>
      <c r="EW38">
        <f t="shared" si="74"/>
        <v>-8.9854452876231665</v>
      </c>
      <c r="EX38">
        <f t="shared" si="75"/>
        <v>-1.1251496728804365E-3</v>
      </c>
      <c r="EY38">
        <f t="shared" si="76"/>
        <v>-2.8910627590556176E-4</v>
      </c>
      <c r="EZ38">
        <f t="shared" si="77"/>
        <v>5.3419723189586055</v>
      </c>
      <c r="FB38" t="s">
        <v>303</v>
      </c>
      <c r="FC38" t="s">
        <v>106</v>
      </c>
      <c r="FG38">
        <v>1</v>
      </c>
      <c r="FH38">
        <f t="shared" si="78"/>
        <v>1</v>
      </c>
      <c r="FI38">
        <f t="shared" si="79"/>
        <v>1.7702248185519558E-2</v>
      </c>
      <c r="FJ38">
        <f t="shared" si="80"/>
        <v>1.770224818551956E-4</v>
      </c>
      <c r="FK38">
        <f t="shared" si="81"/>
        <v>3.1336959082173057E-8</v>
      </c>
      <c r="FL38">
        <f t="shared" si="82"/>
        <v>-8.6392338173252625</v>
      </c>
      <c r="FM38">
        <f t="shared" si="83"/>
        <v>-1.5293386116702534E-3</v>
      </c>
      <c r="FN38">
        <f t="shared" si="84"/>
        <v>-3.9093292895982777E-4</v>
      </c>
    </row>
    <row r="39" spans="6:170" x14ac:dyDescent="0.25">
      <c r="L39" t="s">
        <v>303</v>
      </c>
      <c r="M39" s="1" t="s">
        <v>419</v>
      </c>
      <c r="N39">
        <v>17</v>
      </c>
      <c r="O39">
        <f>N39/N46*100</f>
        <v>1.7989417989417988</v>
      </c>
      <c r="P39">
        <f t="shared" si="12"/>
        <v>1.7989417989417989E-2</v>
      </c>
      <c r="Q39">
        <f t="shared" si="13"/>
        <v>3.2361915959799555E-4</v>
      </c>
      <c r="R39">
        <f t="shared" si="14"/>
        <v>-4.0179715834375269</v>
      </c>
      <c r="S39">
        <f t="shared" si="15"/>
        <v>-7.228097028406133E-2</v>
      </c>
      <c r="T39">
        <f t="shared" si="16"/>
        <v>-1.9464000963419752E-2</v>
      </c>
      <c r="U39">
        <f t="shared" si="17"/>
        <v>5.838406118550437</v>
      </c>
      <c r="W39" t="s">
        <v>315</v>
      </c>
      <c r="X39" s="1" t="s">
        <v>428</v>
      </c>
      <c r="Y39">
        <v>1</v>
      </c>
      <c r="AC39" s="9">
        <f t="shared" si="88"/>
        <v>1</v>
      </c>
      <c r="AD39" s="9">
        <f t="shared" si="18"/>
        <v>9.1324200913242004E-2</v>
      </c>
      <c r="AE39" s="9">
        <f t="shared" si="19"/>
        <v>9.1324200913242006E-4</v>
      </c>
      <c r="AF39" s="9">
        <f t="shared" si="20"/>
        <v>8.3401096724421924E-7</v>
      </c>
      <c r="AG39" s="9">
        <f t="shared" si="21"/>
        <v>-6.9985096422506015</v>
      </c>
      <c r="AH39" s="9">
        <f t="shared" si="22"/>
        <v>-6.3913330066215539E-3</v>
      </c>
      <c r="AI39" s="9">
        <f t="shared" si="23"/>
        <v>-1.65099486919245E-3</v>
      </c>
      <c r="AJ39" s="9">
        <f t="shared" si="24"/>
        <v>6.7608659905015571</v>
      </c>
      <c r="AK39" s="9"/>
      <c r="AL39" s="9"/>
      <c r="AM39" t="s">
        <v>305</v>
      </c>
      <c r="AN39" s="1" t="s">
        <v>441</v>
      </c>
      <c r="AO39" s="2">
        <f t="shared" si="25"/>
        <v>0.10319917440660474</v>
      </c>
      <c r="AP39">
        <v>1</v>
      </c>
      <c r="AQ39">
        <v>1</v>
      </c>
      <c r="AW39">
        <f t="shared" si="26"/>
        <v>1.0245901639344263E-3</v>
      </c>
      <c r="AX39">
        <f t="shared" si="27"/>
        <v>1.0497850040311745E-6</v>
      </c>
      <c r="AY39">
        <f t="shared" si="28"/>
        <v>-6.8834625864130921</v>
      </c>
      <c r="AZ39">
        <f t="shared" si="29"/>
        <v>-7.0527280598494798E-3</v>
      </c>
      <c r="BA39">
        <f t="shared" si="30"/>
        <v>-1.7156274536454963E-3</v>
      </c>
      <c r="BB39">
        <f t="shared" si="31"/>
        <v>8.7217468765167201</v>
      </c>
      <c r="BE39" t="s">
        <v>303</v>
      </c>
      <c r="BF39" s="1" t="s">
        <v>334</v>
      </c>
      <c r="BG39">
        <v>2</v>
      </c>
      <c r="BH39">
        <f>BG39/BG65*100</f>
        <v>0.24213075060532688</v>
      </c>
      <c r="BI39">
        <v>1</v>
      </c>
      <c r="BJ39">
        <v>1</v>
      </c>
      <c r="BN39">
        <f t="shared" si="89"/>
        <v>2.4096385542168677E-3</v>
      </c>
      <c r="BO39">
        <f t="shared" si="90"/>
        <v>5.8063579619683563E-6</v>
      </c>
      <c r="BP39">
        <f t="shared" si="91"/>
        <v>-6.0282785202306979</v>
      </c>
      <c r="BQ39">
        <f t="shared" si="92"/>
        <v>-1.4525972337905297E-2</v>
      </c>
      <c r="BR39">
        <f t="shared" si="93"/>
        <v>-3.5335485392778993E-3</v>
      </c>
      <c r="BS39">
        <f t="shared" si="94"/>
        <v>8.9298827999525709</v>
      </c>
      <c r="BV39" t="s">
        <v>305</v>
      </c>
      <c r="BW39" s="1" t="s">
        <v>480</v>
      </c>
      <c r="BY39">
        <v>1</v>
      </c>
      <c r="CA39">
        <f t="shared" si="32"/>
        <v>1</v>
      </c>
      <c r="CB39">
        <f>CA39/CA49*100</f>
        <v>1.0985389432055367E-2</v>
      </c>
      <c r="CC39">
        <f t="shared" si="33"/>
        <v>1.1103708638685321E-4</v>
      </c>
      <c r="CD39">
        <f t="shared" si="34"/>
        <v>1.2329234553281503E-8</v>
      </c>
      <c r="CE39">
        <f t="shared" si="35"/>
        <v>-9.1056463008615172</v>
      </c>
      <c r="CF39">
        <f t="shared" si="36"/>
        <v>-1.0110644349168906E-3</v>
      </c>
      <c r="CG39">
        <f t="shared" si="37"/>
        <v>-2.6560390831441814E-4</v>
      </c>
      <c r="CH39">
        <f t="shared" si="38"/>
        <v>4.8264299747314352</v>
      </c>
      <c r="CK39" t="s">
        <v>315</v>
      </c>
      <c r="CL39" s="1" t="s">
        <v>486</v>
      </c>
      <c r="CM39">
        <v>4</v>
      </c>
      <c r="CN39">
        <v>1</v>
      </c>
      <c r="CP39">
        <f t="shared" si="39"/>
        <v>5</v>
      </c>
      <c r="CQ39" s="36">
        <f t="shared" si="40"/>
        <v>0.4480286738351254</v>
      </c>
      <c r="CR39">
        <f t="shared" si="41"/>
        <v>4.4603033006244425E-3</v>
      </c>
      <c r="CS39">
        <f t="shared" si="42"/>
        <v>1.9894305533561297E-5</v>
      </c>
      <c r="CT39">
        <f t="shared" si="43"/>
        <v>-5.4125385106380595</v>
      </c>
      <c r="CU39">
        <f t="shared" si="44"/>
        <v>-2.4141563383755841E-2</v>
      </c>
      <c r="CV39">
        <f t="shared" si="45"/>
        <v>-6.4185798790724951E-3</v>
      </c>
      <c r="CW39">
        <f t="shared" si="46"/>
        <v>5.9850321673386508</v>
      </c>
      <c r="CZ39" t="s">
        <v>305</v>
      </c>
      <c r="DA39" s="1" t="s">
        <v>487</v>
      </c>
      <c r="DB39">
        <v>4</v>
      </c>
      <c r="DC39">
        <v>6</v>
      </c>
      <c r="DE39">
        <f t="shared" si="47"/>
        <v>10</v>
      </c>
      <c r="DF39" s="36">
        <f t="shared" si="48"/>
        <v>1.3477088948787064</v>
      </c>
      <c r="DG39">
        <f t="shared" si="49"/>
        <v>1.3440860215053764E-2</v>
      </c>
      <c r="DH39">
        <f t="shared" si="50"/>
        <v>1.8065672332061511E-4</v>
      </c>
      <c r="DI39">
        <f t="shared" si="51"/>
        <v>-4.3094559418390466</v>
      </c>
      <c r="DJ39">
        <f t="shared" si="52"/>
        <v>-5.7922794917191489E-2</v>
      </c>
      <c r="DK39">
        <f t="shared" si="53"/>
        <v>-1.4326505176427015E-2</v>
      </c>
      <c r="DL39">
        <f t="shared" si="54"/>
        <v>8.4693969237312228</v>
      </c>
      <c r="DN39" t="s">
        <v>303</v>
      </c>
      <c r="DO39" t="s">
        <v>547</v>
      </c>
      <c r="DP39">
        <v>3</v>
      </c>
      <c r="DQ39">
        <f t="shared" si="55"/>
        <v>0.77519379844961245</v>
      </c>
      <c r="DR39">
        <f t="shared" si="56"/>
        <v>7.7519379844961239E-3</v>
      </c>
      <c r="DS39">
        <f t="shared" si="57"/>
        <v>6.0092542515473829E-5</v>
      </c>
      <c r="DT39">
        <f t="shared" si="58"/>
        <v>-4.8598124043616719</v>
      </c>
      <c r="DU39">
        <f t="shared" si="59"/>
        <v>-3.7672964374896679E-2</v>
      </c>
      <c r="DV39">
        <f t="shared" si="60"/>
        <v>-1.0433071392450819E-2</v>
      </c>
      <c r="DW39">
        <f t="shared" si="61"/>
        <v>6.0418654014563815</v>
      </c>
      <c r="DY39" t="s">
        <v>303</v>
      </c>
      <c r="DZ39" s="1" t="s">
        <v>495</v>
      </c>
      <c r="EC39">
        <v>1</v>
      </c>
      <c r="ED39">
        <f t="shared" si="62"/>
        <v>1</v>
      </c>
      <c r="EE39">
        <f t="shared" si="63"/>
        <v>8.3822296730930432E-2</v>
      </c>
      <c r="EF39">
        <f t="shared" si="64"/>
        <v>8.3822296730930428E-4</v>
      </c>
      <c r="EG39">
        <f t="shared" si="65"/>
        <v>7.0261774292481497E-7</v>
      </c>
      <c r="EH39">
        <f t="shared" si="66"/>
        <v>-7.0842264220979159</v>
      </c>
      <c r="EI39">
        <f t="shared" si="67"/>
        <v>-5.9381612926218911E-3</v>
      </c>
      <c r="EJ39">
        <f t="shared" si="68"/>
        <v>-1.5339325640518077E-3</v>
      </c>
      <c r="EK39">
        <f t="shared" si="69"/>
        <v>6.6344576245322022</v>
      </c>
      <c r="EM39" t="s">
        <v>303</v>
      </c>
      <c r="EN39" t="s">
        <v>71</v>
      </c>
      <c r="EP39">
        <v>3</v>
      </c>
      <c r="EQ39">
        <v>4</v>
      </c>
      <c r="ES39">
        <f t="shared" si="70"/>
        <v>7</v>
      </c>
      <c r="ET39">
        <f t="shared" si="71"/>
        <v>8.7653393438517399E-2</v>
      </c>
      <c r="EU39">
        <f t="shared" si="72"/>
        <v>8.7653393438517403E-4</v>
      </c>
      <c r="EV39">
        <f t="shared" si="73"/>
        <v>7.6831173812875254E-7</v>
      </c>
      <c r="EW39">
        <f t="shared" si="74"/>
        <v>-7.0395351385678531</v>
      </c>
      <c r="EX39">
        <f t="shared" si="75"/>
        <v>-6.1703914312515613E-3</v>
      </c>
      <c r="EY39">
        <f t="shared" si="76"/>
        <v>-1.5854769641463454E-3</v>
      </c>
      <c r="EZ39">
        <f t="shared" si="77"/>
        <v>5.3419723189586055</v>
      </c>
      <c r="FB39" t="s">
        <v>303</v>
      </c>
      <c r="FC39" t="s">
        <v>71</v>
      </c>
      <c r="FF39">
        <v>1</v>
      </c>
      <c r="FG39">
        <v>1</v>
      </c>
      <c r="FH39">
        <f t="shared" si="78"/>
        <v>2</v>
      </c>
      <c r="FI39">
        <f t="shared" si="79"/>
        <v>3.5404496371039117E-2</v>
      </c>
      <c r="FJ39">
        <f t="shared" si="80"/>
        <v>3.5404496371039119E-4</v>
      </c>
      <c r="FK39">
        <f t="shared" si="81"/>
        <v>1.2534783632869223E-7</v>
      </c>
      <c r="FL39">
        <f t="shared" si="82"/>
        <v>-7.9460866367653171</v>
      </c>
      <c r="FM39">
        <f t="shared" si="83"/>
        <v>-2.8132719549532012E-3</v>
      </c>
      <c r="FN39">
        <f t="shared" si="84"/>
        <v>-7.1913481874969355E-4</v>
      </c>
    </row>
    <row r="40" spans="6:170" x14ac:dyDescent="0.25">
      <c r="L40" t="s">
        <v>303</v>
      </c>
      <c r="M40" s="1" t="s">
        <v>147</v>
      </c>
      <c r="N40">
        <v>8</v>
      </c>
      <c r="O40">
        <f>N40/N46*100</f>
        <v>0.84656084656084662</v>
      </c>
      <c r="P40">
        <f t="shared" si="12"/>
        <v>8.4656084656084662E-3</v>
      </c>
      <c r="Q40">
        <f t="shared" si="13"/>
        <v>7.1666526692981724E-5</v>
      </c>
      <c r="R40">
        <f t="shared" si="14"/>
        <v>-4.7717433858139069</v>
      </c>
      <c r="S40">
        <f t="shared" si="15"/>
        <v>-4.0395711202657412E-2</v>
      </c>
      <c r="T40">
        <f t="shared" si="16"/>
        <v>-1.0877858427696405E-2</v>
      </c>
      <c r="U40">
        <f t="shared" si="17"/>
        <v>5.838406118550437</v>
      </c>
      <c r="W40" t="s">
        <v>303</v>
      </c>
      <c r="X40" t="s">
        <v>427</v>
      </c>
      <c r="Y40">
        <v>1</v>
      </c>
      <c r="AC40" s="9">
        <f t="shared" si="88"/>
        <v>1</v>
      </c>
      <c r="AD40" s="9">
        <f t="shared" si="18"/>
        <v>9.1324200913242004E-2</v>
      </c>
      <c r="AE40" s="9">
        <f t="shared" si="19"/>
        <v>9.1324200913242006E-4</v>
      </c>
      <c r="AF40" s="9">
        <f t="shared" si="20"/>
        <v>8.3401096724421924E-7</v>
      </c>
      <c r="AG40" s="9">
        <f t="shared" si="21"/>
        <v>-6.9985096422506015</v>
      </c>
      <c r="AH40" s="9">
        <f t="shared" si="22"/>
        <v>-6.3913330066215539E-3</v>
      </c>
      <c r="AI40" s="9">
        <f t="shared" si="23"/>
        <v>-1.65099486919245E-3</v>
      </c>
      <c r="AJ40" s="9">
        <f t="shared" si="24"/>
        <v>6.7608659905015571</v>
      </c>
      <c r="AK40" s="9"/>
      <c r="AL40" s="9"/>
      <c r="AM40" t="s">
        <v>568</v>
      </c>
      <c r="AN40" s="1" t="s">
        <v>442</v>
      </c>
      <c r="AO40" s="2">
        <f t="shared" si="25"/>
        <v>0.30959752321981426</v>
      </c>
      <c r="AP40">
        <v>3</v>
      </c>
      <c r="AQ40">
        <v>3</v>
      </c>
      <c r="AW40">
        <f t="shared" si="26"/>
        <v>3.0737704918032786E-3</v>
      </c>
      <c r="AX40">
        <f t="shared" si="27"/>
        <v>9.4480650362805687E-6</v>
      </c>
      <c r="AY40">
        <f t="shared" si="28"/>
        <v>-5.7848502977449829</v>
      </c>
      <c r="AZ40">
        <f t="shared" si="29"/>
        <v>-1.7781302144707939E-2</v>
      </c>
      <c r="BA40">
        <f t="shared" si="30"/>
        <v>-4.3254312178424683E-3</v>
      </c>
      <c r="BB40">
        <f t="shared" si="31"/>
        <v>8.7217468765167201</v>
      </c>
      <c r="BE40" t="s">
        <v>315</v>
      </c>
      <c r="BF40" s="18" t="s">
        <v>433</v>
      </c>
      <c r="BG40" s="15">
        <v>15</v>
      </c>
      <c r="BH40" s="15">
        <f>BG40/BG65*100</f>
        <v>1.8159806295399514</v>
      </c>
      <c r="BI40">
        <v>3</v>
      </c>
      <c r="BJ40">
        <v>4</v>
      </c>
      <c r="BK40">
        <v>8</v>
      </c>
      <c r="BN40">
        <f t="shared" si="89"/>
        <v>1.8072289156626505E-2</v>
      </c>
      <c r="BO40">
        <f t="shared" si="90"/>
        <v>3.2660763536071995E-4</v>
      </c>
      <c r="BP40">
        <f t="shared" si="91"/>
        <v>-4.0133754996884337</v>
      </c>
      <c r="BQ40">
        <f t="shared" si="92"/>
        <v>-7.2530882524489762E-2</v>
      </c>
      <c r="BR40">
        <f t="shared" si="93"/>
        <v>-1.76436652937965E-2</v>
      </c>
      <c r="BS40">
        <f t="shared" si="94"/>
        <v>8.9298827999525709</v>
      </c>
      <c r="BV40" t="s">
        <v>305</v>
      </c>
      <c r="BW40" s="1" t="s">
        <v>469</v>
      </c>
      <c r="BX40">
        <v>3</v>
      </c>
      <c r="BY40">
        <v>2</v>
      </c>
      <c r="BZ40">
        <v>2</v>
      </c>
      <c r="CA40">
        <f t="shared" si="32"/>
        <v>7</v>
      </c>
      <c r="CB40">
        <f>CA40/CA49*100</f>
        <v>7.6897726024387561E-2</v>
      </c>
      <c r="CC40">
        <f t="shared" si="33"/>
        <v>7.7725960470797248E-4</v>
      </c>
      <c r="CD40">
        <f t="shared" si="34"/>
        <v>6.0413249311079359E-7</v>
      </c>
      <c r="CE40">
        <f t="shared" si="35"/>
        <v>-7.1597361518062037</v>
      </c>
      <c r="CF40">
        <f t="shared" si="36"/>
        <v>-5.56497369116627E-3</v>
      </c>
      <c r="CG40">
        <f t="shared" si="37"/>
        <v>-1.4619036245322712E-3</v>
      </c>
      <c r="CH40">
        <f t="shared" si="38"/>
        <v>4.8264299747314352</v>
      </c>
      <c r="CK40" t="s">
        <v>303</v>
      </c>
      <c r="CL40" s="1" t="s">
        <v>545</v>
      </c>
      <c r="CM40">
        <v>1</v>
      </c>
      <c r="CP40">
        <f t="shared" si="39"/>
        <v>1</v>
      </c>
      <c r="CQ40" s="36">
        <f t="shared" si="40"/>
        <v>8.9605734767025089E-2</v>
      </c>
      <c r="CR40">
        <f t="shared" si="41"/>
        <v>8.9206066012488853E-4</v>
      </c>
      <c r="CS40">
        <f t="shared" si="42"/>
        <v>7.9577222134245192E-7</v>
      </c>
      <c r="CT40">
        <f t="shared" si="43"/>
        <v>-7.02197642307216</v>
      </c>
      <c r="CU40">
        <f t="shared" si="44"/>
        <v>-6.2640289233471544E-3</v>
      </c>
      <c r="CV40">
        <f t="shared" si="45"/>
        <v>-1.6654335665923674E-3</v>
      </c>
      <c r="CW40">
        <f t="shared" si="46"/>
        <v>5.9850321673386508</v>
      </c>
      <c r="CZ40" t="s">
        <v>568</v>
      </c>
      <c r="DA40" s="1" t="s">
        <v>218</v>
      </c>
      <c r="DB40">
        <v>1</v>
      </c>
      <c r="DC40">
        <v>2</v>
      </c>
      <c r="DE40">
        <f t="shared" si="47"/>
        <v>3</v>
      </c>
      <c r="DF40" s="36">
        <f t="shared" si="48"/>
        <v>0.40431266846361186</v>
      </c>
      <c r="DG40">
        <f t="shared" si="49"/>
        <v>4.0322580645161289E-3</v>
      </c>
      <c r="DH40">
        <f t="shared" si="50"/>
        <v>1.6259105098855357E-5</v>
      </c>
      <c r="DI40">
        <f t="shared" si="51"/>
        <v>-5.5134287461649825</v>
      </c>
      <c r="DJ40">
        <f t="shared" si="52"/>
        <v>-2.2231567524858799E-2</v>
      </c>
      <c r="DK40">
        <f t="shared" si="53"/>
        <v>-5.4987102690800113E-3</v>
      </c>
      <c r="DL40">
        <f t="shared" si="54"/>
        <v>8.4693969237312228</v>
      </c>
      <c r="DN40" t="s">
        <v>315</v>
      </c>
      <c r="DO40" t="s">
        <v>513</v>
      </c>
      <c r="DP40">
        <v>1</v>
      </c>
      <c r="DQ40" s="15">
        <f t="shared" si="55"/>
        <v>0.2583979328165375</v>
      </c>
      <c r="DR40">
        <f t="shared" si="56"/>
        <v>2.5839793281653748E-3</v>
      </c>
      <c r="DS40">
        <f t="shared" si="57"/>
        <v>6.6769491683859819E-6</v>
      </c>
      <c r="DT40">
        <f t="shared" si="58"/>
        <v>-5.9584246930297819</v>
      </c>
      <c r="DU40">
        <f t="shared" si="59"/>
        <v>-1.5396446235219076E-2</v>
      </c>
      <c r="DV40">
        <f t="shared" si="60"/>
        <v>-4.2638593863643043E-3</v>
      </c>
      <c r="DW40">
        <f t="shared" si="61"/>
        <v>6.0418654014563815</v>
      </c>
      <c r="DY40" t="s">
        <v>305</v>
      </c>
      <c r="DZ40" t="s">
        <v>294</v>
      </c>
      <c r="EA40">
        <v>3</v>
      </c>
      <c r="EB40">
        <v>2</v>
      </c>
      <c r="EC40">
        <v>1</v>
      </c>
      <c r="ED40">
        <f t="shared" si="62"/>
        <v>6</v>
      </c>
      <c r="EE40">
        <f t="shared" si="63"/>
        <v>0.50293378038558256</v>
      </c>
      <c r="EF40">
        <f t="shared" si="64"/>
        <v>5.0293378038558257E-3</v>
      </c>
      <c r="EG40">
        <f t="shared" si="65"/>
        <v>2.529423874529334E-5</v>
      </c>
      <c r="EH40">
        <f t="shared" si="66"/>
        <v>-5.2924669528698614</v>
      </c>
      <c r="EI40">
        <f t="shared" si="67"/>
        <v>-2.6617604121726042E-2</v>
      </c>
      <c r="EJ40">
        <f t="shared" si="68"/>
        <v>-6.8758000544858209E-3</v>
      </c>
      <c r="EK40">
        <f t="shared" si="69"/>
        <v>6.6344576245322022</v>
      </c>
      <c r="EM40" t="s">
        <v>305</v>
      </c>
      <c r="EN40" t="s">
        <v>508</v>
      </c>
      <c r="EO40">
        <v>1</v>
      </c>
      <c r="EP40">
        <v>2</v>
      </c>
      <c r="EQ40">
        <v>4</v>
      </c>
      <c r="ER40">
        <v>2</v>
      </c>
      <c r="ES40">
        <f t="shared" si="70"/>
        <v>9</v>
      </c>
      <c r="ET40">
        <f t="shared" si="71"/>
        <v>0.11269722013523666</v>
      </c>
      <c r="EU40">
        <f t="shared" si="72"/>
        <v>1.1269722013523666E-3</v>
      </c>
      <c r="EV40">
        <f t="shared" si="73"/>
        <v>1.270066342620999E-6</v>
      </c>
      <c r="EW40">
        <f t="shared" si="74"/>
        <v>-6.7882207102869474</v>
      </c>
      <c r="EX40">
        <f t="shared" si="75"/>
        <v>-7.6501360371378068E-3</v>
      </c>
      <c r="EY40">
        <f t="shared" si="76"/>
        <v>-1.9656961141941063E-3</v>
      </c>
      <c r="EZ40">
        <f t="shared" si="77"/>
        <v>5.3419723189586055</v>
      </c>
      <c r="FB40" t="s">
        <v>305</v>
      </c>
      <c r="FC40" t="s">
        <v>294</v>
      </c>
      <c r="FD40">
        <v>8</v>
      </c>
      <c r="FE40">
        <v>2</v>
      </c>
      <c r="FF40">
        <v>4</v>
      </c>
      <c r="FG40">
        <v>1</v>
      </c>
      <c r="FH40">
        <f t="shared" si="78"/>
        <v>15</v>
      </c>
      <c r="FI40">
        <f t="shared" si="79"/>
        <v>0.26553372278279341</v>
      </c>
      <c r="FJ40">
        <f t="shared" si="80"/>
        <v>2.6553372278279343E-3</v>
      </c>
      <c r="FK40">
        <f t="shared" si="81"/>
        <v>7.0508157934889391E-6</v>
      </c>
      <c r="FL40">
        <f t="shared" si="82"/>
        <v>-5.931183616223052</v>
      </c>
      <c r="FM40">
        <f t="shared" si="83"/>
        <v>-1.5749292661240182E-2</v>
      </c>
      <c r="FN40">
        <f t="shared" si="84"/>
        <v>-4.0258691320033593E-3</v>
      </c>
    </row>
    <row r="41" spans="6:170" x14ac:dyDescent="0.25">
      <c r="L41" t="s">
        <v>568</v>
      </c>
      <c r="M41" s="1" t="s">
        <v>67</v>
      </c>
      <c r="N41">
        <v>1</v>
      </c>
      <c r="O41">
        <f>N41/N46*100</f>
        <v>0.10582010582010583</v>
      </c>
      <c r="P41">
        <f t="shared" si="12"/>
        <v>1.0582010582010583E-3</v>
      </c>
      <c r="Q41">
        <f t="shared" si="13"/>
        <v>1.1197894795778394E-6</v>
      </c>
      <c r="R41">
        <f t="shared" si="14"/>
        <v>-6.8511849274937431</v>
      </c>
      <c r="S41">
        <f t="shared" si="15"/>
        <v>-7.2499311402050197E-3</v>
      </c>
      <c r="T41">
        <f t="shared" si="16"/>
        <v>-1.9522796407285378E-3</v>
      </c>
      <c r="U41">
        <f t="shared" si="17"/>
        <v>5.838406118550437</v>
      </c>
      <c r="W41" t="s">
        <v>315</v>
      </c>
      <c r="X41" s="2" t="s">
        <v>84</v>
      </c>
      <c r="Y41" s="2"/>
      <c r="Z41">
        <v>4</v>
      </c>
      <c r="AC41" s="9">
        <f t="shared" si="88"/>
        <v>4</v>
      </c>
      <c r="AD41" s="15">
        <f t="shared" si="18"/>
        <v>0.36529680365296802</v>
      </c>
      <c r="AE41" s="9">
        <f t="shared" si="19"/>
        <v>3.6529680365296802E-3</v>
      </c>
      <c r="AF41" s="9">
        <f t="shared" si="20"/>
        <v>1.3344175475907508E-5</v>
      </c>
      <c r="AG41" s="9">
        <f t="shared" si="21"/>
        <v>-5.6122152811307107</v>
      </c>
      <c r="AH41" s="9">
        <f t="shared" si="22"/>
        <v>-2.0501243036093918E-2</v>
      </c>
      <c r="AI41" s="9">
        <f t="shared" si="23"/>
        <v>-5.2958353178580815E-3</v>
      </c>
      <c r="AJ41" s="9">
        <f t="shared" si="24"/>
        <v>6.7608659905015571</v>
      </c>
      <c r="AK41" s="9"/>
      <c r="AL41" s="9"/>
      <c r="AM41" t="s">
        <v>303</v>
      </c>
      <c r="AN41" s="1" t="s">
        <v>443</v>
      </c>
      <c r="AO41" s="2">
        <f t="shared" si="25"/>
        <v>0.20639834881320948</v>
      </c>
      <c r="AP41">
        <v>2</v>
      </c>
      <c r="AQ41">
        <v>2</v>
      </c>
      <c r="AW41">
        <f t="shared" si="26"/>
        <v>2.0491803278688526E-3</v>
      </c>
      <c r="AX41">
        <f t="shared" si="27"/>
        <v>4.1991400161246981E-6</v>
      </c>
      <c r="AY41">
        <f t="shared" si="28"/>
        <v>-6.1903154058531475</v>
      </c>
      <c r="AZ41">
        <f t="shared" si="29"/>
        <v>-1.2685072552977761E-2</v>
      </c>
      <c r="BA41">
        <f t="shared" si="30"/>
        <v>-3.0857362624354579E-3</v>
      </c>
      <c r="BB41">
        <f t="shared" si="31"/>
        <v>8.7217468765167201</v>
      </c>
      <c r="BE41" t="s">
        <v>303</v>
      </c>
      <c r="BF41" s="1" t="s">
        <v>467</v>
      </c>
      <c r="BG41">
        <v>14</v>
      </c>
      <c r="BH41">
        <f>BG41/BG65*100</f>
        <v>1.6949152542372881</v>
      </c>
      <c r="BI41">
        <v>2</v>
      </c>
      <c r="BJ41">
        <v>3</v>
      </c>
      <c r="BK41">
        <v>3</v>
      </c>
      <c r="BL41">
        <v>6</v>
      </c>
      <c r="BN41">
        <f t="shared" si="89"/>
        <v>1.6867469879518072E-2</v>
      </c>
      <c r="BO41">
        <f t="shared" si="90"/>
        <v>2.8451154013644944E-4</v>
      </c>
      <c r="BP41">
        <f t="shared" si="91"/>
        <v>-4.0823683711753853</v>
      </c>
      <c r="BQ41">
        <f t="shared" si="92"/>
        <v>-6.8859225537898069E-2</v>
      </c>
      <c r="BR41">
        <f t="shared" si="93"/>
        <v>-1.6750507997341711E-2</v>
      </c>
      <c r="BS41">
        <f t="shared" si="94"/>
        <v>8.9298827999525709</v>
      </c>
      <c r="BV41" t="s">
        <v>303</v>
      </c>
      <c r="BW41" s="1" t="s">
        <v>243</v>
      </c>
      <c r="BX41">
        <v>3</v>
      </c>
      <c r="BY41">
        <v>7</v>
      </c>
      <c r="CA41">
        <f t="shared" si="32"/>
        <v>10</v>
      </c>
      <c r="CB41">
        <f>CA41/CA49*100</f>
        <v>0.10985389432055367</v>
      </c>
      <c r="CC41">
        <f t="shared" si="33"/>
        <v>1.1103708638685321E-3</v>
      </c>
      <c r="CD41">
        <f t="shared" si="34"/>
        <v>1.2329234553281502E-6</v>
      </c>
      <c r="CE41">
        <f t="shared" si="35"/>
        <v>-6.8030612078674713</v>
      </c>
      <c r="CF41">
        <f t="shared" si="36"/>
        <v>-7.5539209503303036E-3</v>
      </c>
      <c r="CG41">
        <f t="shared" si="37"/>
        <v>-1.9843947212630558E-3</v>
      </c>
      <c r="CH41">
        <f t="shared" si="38"/>
        <v>4.8264299747314352</v>
      </c>
      <c r="CK41" t="s">
        <v>305</v>
      </c>
      <c r="CL41" s="1" t="s">
        <v>487</v>
      </c>
      <c r="CM41">
        <v>10</v>
      </c>
      <c r="CN41">
        <v>7</v>
      </c>
      <c r="CO41">
        <v>12</v>
      </c>
      <c r="CP41">
        <f t="shared" si="39"/>
        <v>29</v>
      </c>
      <c r="CQ41" s="36">
        <f t="shared" si="40"/>
        <v>2.5985663082437274</v>
      </c>
      <c r="CR41">
        <f t="shared" si="41"/>
        <v>2.5869759143621766E-2</v>
      </c>
      <c r="CS41">
        <f t="shared" si="42"/>
        <v>6.6924443814900193E-4</v>
      </c>
      <c r="CT41">
        <f t="shared" si="43"/>
        <v>-3.6546805930856858</v>
      </c>
      <c r="CU41">
        <f t="shared" si="44"/>
        <v>-9.4545706689995443E-2</v>
      </c>
      <c r="CV41">
        <f t="shared" si="45"/>
        <v>-2.5137111502125244E-2</v>
      </c>
      <c r="CW41">
        <f t="shared" si="46"/>
        <v>5.9850321673386508</v>
      </c>
      <c r="CZ41" t="s">
        <v>303</v>
      </c>
      <c r="DA41" s="1" t="s">
        <v>21</v>
      </c>
      <c r="DD41">
        <v>2</v>
      </c>
      <c r="DE41">
        <f t="shared" si="47"/>
        <v>2</v>
      </c>
      <c r="DF41" s="36">
        <f t="shared" si="48"/>
        <v>0.26954177897574128</v>
      </c>
      <c r="DG41">
        <f t="shared" si="49"/>
        <v>2.6881720430107529E-3</v>
      </c>
      <c r="DH41">
        <f t="shared" si="50"/>
        <v>7.2262689328246053E-6</v>
      </c>
      <c r="DI41">
        <f t="shared" si="51"/>
        <v>-5.9188938542731462</v>
      </c>
      <c r="DJ41">
        <f t="shared" si="52"/>
        <v>-1.5911004984605234E-2</v>
      </c>
      <c r="DK41">
        <f t="shared" si="53"/>
        <v>-3.9353953068042924E-3</v>
      </c>
      <c r="DL41">
        <f t="shared" si="54"/>
        <v>8.4693969237312228</v>
      </c>
      <c r="DN41" t="s">
        <v>303</v>
      </c>
      <c r="DO41" t="s">
        <v>101</v>
      </c>
      <c r="DP41">
        <v>1</v>
      </c>
      <c r="DQ41">
        <f t="shared" si="55"/>
        <v>0.2583979328165375</v>
      </c>
      <c r="DR41">
        <f t="shared" si="56"/>
        <v>2.5839793281653748E-3</v>
      </c>
      <c r="DS41">
        <f t="shared" si="57"/>
        <v>6.6769491683859819E-6</v>
      </c>
      <c r="DT41">
        <f t="shared" si="58"/>
        <v>-5.9584246930297819</v>
      </c>
      <c r="DU41">
        <f t="shared" si="59"/>
        <v>-1.5396446235219076E-2</v>
      </c>
      <c r="DV41">
        <f t="shared" si="60"/>
        <v>-4.2638593863643043E-3</v>
      </c>
      <c r="DW41">
        <f t="shared" si="61"/>
        <v>6.0418654014563815</v>
      </c>
      <c r="DY41" t="s">
        <v>315</v>
      </c>
      <c r="DZ41" t="s">
        <v>112</v>
      </c>
      <c r="EA41">
        <v>2</v>
      </c>
      <c r="EC41">
        <v>1</v>
      </c>
      <c r="ED41">
        <f t="shared" si="62"/>
        <v>3</v>
      </c>
      <c r="EE41">
        <f t="shared" si="63"/>
        <v>0.25146689019279128</v>
      </c>
      <c r="EF41">
        <f t="shared" si="64"/>
        <v>2.5146689019279128E-3</v>
      </c>
      <c r="EG41">
        <f t="shared" si="65"/>
        <v>6.3235596863233349E-6</v>
      </c>
      <c r="EH41">
        <f t="shared" si="66"/>
        <v>-5.9856141334298067</v>
      </c>
      <c r="EI41">
        <f t="shared" si="67"/>
        <v>-1.5051837720276127E-2</v>
      </c>
      <c r="EJ41">
        <f t="shared" si="68"/>
        <v>-3.8881571062480435E-3</v>
      </c>
      <c r="EK41">
        <f t="shared" si="69"/>
        <v>6.6344576245322022</v>
      </c>
      <c r="EM41" t="s">
        <v>321</v>
      </c>
      <c r="EN41" t="s">
        <v>202</v>
      </c>
      <c r="EQ41">
        <v>4</v>
      </c>
      <c r="ER41">
        <v>1</v>
      </c>
      <c r="ES41">
        <f t="shared" si="70"/>
        <v>5</v>
      </c>
      <c r="ET41">
        <f t="shared" si="71"/>
        <v>6.2609566741798142E-2</v>
      </c>
      <c r="EU41">
        <f t="shared" si="72"/>
        <v>6.2609566741798147E-4</v>
      </c>
      <c r="EV41">
        <f t="shared" si="73"/>
        <v>3.9199578475956766E-7</v>
      </c>
      <c r="EW41">
        <f t="shared" si="74"/>
        <v>-7.376007375189066</v>
      </c>
      <c r="EX41">
        <f t="shared" si="75"/>
        <v>-4.6180862604489519E-3</v>
      </c>
      <c r="EY41">
        <f t="shared" si="76"/>
        <v>-1.1866134370826186E-3</v>
      </c>
      <c r="EZ41">
        <f t="shared" si="77"/>
        <v>5.3419723189586055</v>
      </c>
      <c r="FB41" t="s">
        <v>568</v>
      </c>
      <c r="FC41" t="s">
        <v>532</v>
      </c>
      <c r="FF41">
        <v>1</v>
      </c>
      <c r="FH41">
        <f t="shared" si="78"/>
        <v>1</v>
      </c>
      <c r="FI41">
        <f t="shared" si="79"/>
        <v>1.7702248185519558E-2</v>
      </c>
      <c r="FJ41">
        <f t="shared" si="80"/>
        <v>1.770224818551956E-4</v>
      </c>
      <c r="FK41">
        <f t="shared" si="81"/>
        <v>3.1336959082173057E-8</v>
      </c>
      <c r="FL41">
        <f t="shared" si="82"/>
        <v>-8.6392338173252625</v>
      </c>
      <c r="FM41">
        <f t="shared" si="83"/>
        <v>-1.5293386116702534E-3</v>
      </c>
      <c r="FN41">
        <f t="shared" si="84"/>
        <v>-3.9093292895982777E-4</v>
      </c>
    </row>
    <row r="42" spans="6:170" x14ac:dyDescent="0.25">
      <c r="L42" t="s">
        <v>303</v>
      </c>
      <c r="M42" s="1" t="s">
        <v>68</v>
      </c>
      <c r="N42">
        <v>1</v>
      </c>
      <c r="O42">
        <f>N42/N46*100</f>
        <v>0.10582010582010583</v>
      </c>
      <c r="P42">
        <f t="shared" si="12"/>
        <v>1.0582010582010583E-3</v>
      </c>
      <c r="Q42">
        <f t="shared" si="13"/>
        <v>1.1197894795778394E-6</v>
      </c>
      <c r="R42">
        <f t="shared" si="14"/>
        <v>-6.8511849274937431</v>
      </c>
      <c r="S42">
        <f t="shared" si="15"/>
        <v>-7.2499311402050197E-3</v>
      </c>
      <c r="T42">
        <f t="shared" si="16"/>
        <v>-1.9522796407285378E-3</v>
      </c>
      <c r="U42">
        <f t="shared" si="17"/>
        <v>5.838406118550437</v>
      </c>
      <c r="W42" t="s">
        <v>315</v>
      </c>
      <c r="X42" s="2" t="s">
        <v>210</v>
      </c>
      <c r="Y42" s="2">
        <v>3</v>
      </c>
      <c r="AC42" s="9">
        <f t="shared" si="88"/>
        <v>3</v>
      </c>
      <c r="AD42" s="9">
        <f t="shared" si="18"/>
        <v>0.27397260273972601</v>
      </c>
      <c r="AE42" s="9">
        <f t="shared" si="19"/>
        <v>2.7397260273972603E-3</v>
      </c>
      <c r="AF42" s="9">
        <f t="shared" si="20"/>
        <v>7.5060987051979735E-6</v>
      </c>
      <c r="AG42" s="9">
        <f t="shared" si="21"/>
        <v>-5.8998973535824915</v>
      </c>
      <c r="AH42" s="9">
        <f t="shared" si="22"/>
        <v>-1.6164102338582169E-2</v>
      </c>
      <c r="AI42" s="9">
        <f t="shared" si="23"/>
        <v>-4.1754748185476665E-3</v>
      </c>
      <c r="AJ42" s="9">
        <f t="shared" si="24"/>
        <v>6.7608659905015571</v>
      </c>
      <c r="AK42" s="9"/>
      <c r="AL42" s="9"/>
      <c r="AM42" t="s">
        <v>315</v>
      </c>
      <c r="AN42" s="1" t="s">
        <v>444</v>
      </c>
      <c r="AO42" s="38">
        <f t="shared" si="25"/>
        <v>1.3415892672858616</v>
      </c>
      <c r="AP42">
        <v>13</v>
      </c>
      <c r="AQ42">
        <v>3</v>
      </c>
      <c r="AR42">
        <v>7</v>
      </c>
      <c r="AS42">
        <v>3</v>
      </c>
      <c r="AW42">
        <f t="shared" si="26"/>
        <v>1.331967213114754E-2</v>
      </c>
      <c r="AX42">
        <f t="shared" si="27"/>
        <v>1.7741366568126845E-4</v>
      </c>
      <c r="AY42">
        <f t="shared" si="28"/>
        <v>-4.3185132289515558</v>
      </c>
      <c r="AZ42">
        <f t="shared" si="29"/>
        <v>-5.7521180303658014E-2</v>
      </c>
      <c r="BA42">
        <f t="shared" si="30"/>
        <v>-1.3992445938310347E-2</v>
      </c>
      <c r="BB42">
        <f t="shared" si="31"/>
        <v>8.7217468765167201</v>
      </c>
      <c r="BE42" t="s">
        <v>303</v>
      </c>
      <c r="BF42" s="1" t="s">
        <v>88</v>
      </c>
      <c r="BG42">
        <v>19</v>
      </c>
      <c r="BH42">
        <f>BG42/BG65*100</f>
        <v>2.3002421307506054</v>
      </c>
      <c r="BI42">
        <v>3</v>
      </c>
      <c r="BJ42">
        <v>4</v>
      </c>
      <c r="BK42">
        <v>1</v>
      </c>
      <c r="BL42">
        <v>11</v>
      </c>
      <c r="BN42">
        <f t="shared" si="89"/>
        <v>2.289156626506024E-2</v>
      </c>
      <c r="BO42">
        <f t="shared" si="90"/>
        <v>5.2402380606764404E-4</v>
      </c>
      <c r="BP42">
        <f t="shared" si="91"/>
        <v>-3.776986721624203</v>
      </c>
      <c r="BQ42">
        <f t="shared" si="92"/>
        <v>-8.6461141820313073E-2</v>
      </c>
      <c r="BR42">
        <f t="shared" si="93"/>
        <v>-2.1032302298017658E-2</v>
      </c>
      <c r="BS42">
        <f t="shared" si="94"/>
        <v>8.9298827999525709</v>
      </c>
      <c r="BV42" t="s">
        <v>322</v>
      </c>
      <c r="BW42" s="1" t="s">
        <v>473</v>
      </c>
      <c r="BX42">
        <v>11</v>
      </c>
      <c r="BY42">
        <v>2</v>
      </c>
      <c r="BZ42">
        <v>13</v>
      </c>
      <c r="CA42">
        <f t="shared" si="32"/>
        <v>26</v>
      </c>
      <c r="CB42">
        <f>CA42/CA49*100</f>
        <v>0.28562012523343949</v>
      </c>
      <c r="CC42">
        <f t="shared" si="33"/>
        <v>2.8869642460581835E-3</v>
      </c>
      <c r="CD42">
        <f t="shared" si="34"/>
        <v>8.3345625580182965E-6</v>
      </c>
      <c r="CE42">
        <f t="shared" si="35"/>
        <v>-5.8475497628400346</v>
      </c>
      <c r="CF42">
        <f t="shared" si="36"/>
        <v>-1.6881667092365191E-2</v>
      </c>
      <c r="CG42">
        <f t="shared" si="37"/>
        <v>-4.4347685505955565E-3</v>
      </c>
      <c r="CH42">
        <f t="shared" si="38"/>
        <v>4.8264299747314352</v>
      </c>
      <c r="CK42" t="s">
        <v>569</v>
      </c>
      <c r="CL42" t="s">
        <v>324</v>
      </c>
      <c r="CM42">
        <v>1</v>
      </c>
      <c r="CP42">
        <f t="shared" si="39"/>
        <v>1</v>
      </c>
      <c r="CQ42" s="36">
        <f t="shared" si="40"/>
        <v>8.9605734767025089E-2</v>
      </c>
      <c r="CR42">
        <f t="shared" si="41"/>
        <v>8.9206066012488853E-4</v>
      </c>
      <c r="CS42">
        <f t="shared" si="42"/>
        <v>7.9577222134245192E-7</v>
      </c>
      <c r="CT42">
        <f t="shared" si="43"/>
        <v>-7.02197642307216</v>
      </c>
      <c r="CU42">
        <f t="shared" si="44"/>
        <v>-6.2640289233471544E-3</v>
      </c>
      <c r="CV42">
        <f t="shared" si="45"/>
        <v>-1.6654335665923674E-3</v>
      </c>
      <c r="CW42">
        <f t="shared" si="46"/>
        <v>5.9850321673386508</v>
      </c>
      <c r="CZ42" t="s">
        <v>325</v>
      </c>
      <c r="DA42" t="s">
        <v>325</v>
      </c>
      <c r="DB42">
        <v>2</v>
      </c>
      <c r="DD42">
        <v>3</v>
      </c>
      <c r="DE42">
        <f t="shared" si="47"/>
        <v>5</v>
      </c>
      <c r="DF42" s="36">
        <f t="shared" si="48"/>
        <v>0.67385444743935319</v>
      </c>
      <c r="DG42">
        <f t="shared" si="49"/>
        <v>6.7204301075268818E-3</v>
      </c>
      <c r="DH42">
        <f t="shared" si="50"/>
        <v>4.5164180830153778E-5</v>
      </c>
      <c r="DI42">
        <f t="shared" si="51"/>
        <v>-5.0026031223989911</v>
      </c>
      <c r="DJ42">
        <f t="shared" si="52"/>
        <v>-3.3619644639778165E-2</v>
      </c>
      <c r="DK42">
        <f t="shared" si="53"/>
        <v>-8.3154138823930308E-3</v>
      </c>
      <c r="DL42">
        <f t="shared" si="54"/>
        <v>8.4693969237312228</v>
      </c>
      <c r="DP42">
        <f>SUM(DP5:DP41)</f>
        <v>387</v>
      </c>
      <c r="DU42" s="3">
        <f>SUM(DU5:DU41)</f>
        <v>-2.8157969104825047</v>
      </c>
      <c r="DV42" s="3">
        <f t="shared" si="60"/>
        <v>-0.7798008646561938</v>
      </c>
      <c r="DW42" s="3">
        <f>AVERAGE(DW5:DW41)</f>
        <v>6.0418654014563842</v>
      </c>
      <c r="DY42" t="s">
        <v>321</v>
      </c>
      <c r="DZ42" t="s">
        <v>202</v>
      </c>
      <c r="EA42">
        <v>1</v>
      </c>
      <c r="ED42">
        <f t="shared" si="62"/>
        <v>1</v>
      </c>
      <c r="EE42">
        <f t="shared" si="63"/>
        <v>8.3822296730930432E-2</v>
      </c>
      <c r="EF42">
        <f t="shared" si="64"/>
        <v>8.3822296730930428E-4</v>
      </c>
      <c r="EG42">
        <f t="shared" si="65"/>
        <v>7.0261774292481497E-7</v>
      </c>
      <c r="EH42">
        <f t="shared" si="66"/>
        <v>-7.0842264220979159</v>
      </c>
      <c r="EI42">
        <f t="shared" si="67"/>
        <v>-5.9381612926218911E-3</v>
      </c>
      <c r="EJ42">
        <f t="shared" si="68"/>
        <v>-1.5339325640518077E-3</v>
      </c>
      <c r="EK42">
        <f t="shared" si="69"/>
        <v>6.6344576245322022</v>
      </c>
      <c r="EM42" t="s">
        <v>568</v>
      </c>
      <c r="EN42" t="s">
        <v>507</v>
      </c>
      <c r="EO42">
        <v>9</v>
      </c>
      <c r="EP42">
        <v>6</v>
      </c>
      <c r="EQ42">
        <v>5</v>
      </c>
      <c r="ER42">
        <v>5</v>
      </c>
      <c r="ES42">
        <f t="shared" si="70"/>
        <v>25</v>
      </c>
      <c r="ET42">
        <f t="shared" si="71"/>
        <v>0.31304783370899075</v>
      </c>
      <c r="EU42">
        <f t="shared" si="72"/>
        <v>3.1304783370899075E-3</v>
      </c>
      <c r="EV42">
        <f t="shared" si="73"/>
        <v>9.7998946189891936E-6</v>
      </c>
      <c r="EW42">
        <f t="shared" si="74"/>
        <v>-5.7665694627549655</v>
      </c>
      <c r="EX42">
        <f t="shared" si="75"/>
        <v>-1.8052120782478608E-2</v>
      </c>
      <c r="EY42">
        <f t="shared" si="76"/>
        <v>-4.6384774731871416E-3</v>
      </c>
      <c r="EZ42">
        <f t="shared" si="77"/>
        <v>5.3419723189586055</v>
      </c>
      <c r="FB42" t="s">
        <v>303</v>
      </c>
      <c r="FC42" t="s">
        <v>526</v>
      </c>
      <c r="FE42">
        <v>1</v>
      </c>
      <c r="FF42">
        <v>1</v>
      </c>
      <c r="FH42">
        <f t="shared" si="78"/>
        <v>2</v>
      </c>
      <c r="FI42">
        <f t="shared" si="79"/>
        <v>3.5404496371039117E-2</v>
      </c>
      <c r="FJ42">
        <f t="shared" si="80"/>
        <v>3.5404496371039119E-4</v>
      </c>
      <c r="FK42">
        <f t="shared" si="81"/>
        <v>1.2534783632869223E-7</v>
      </c>
      <c r="FL42">
        <f t="shared" si="82"/>
        <v>-7.9460866367653171</v>
      </c>
      <c r="FM42">
        <f t="shared" si="83"/>
        <v>-2.8132719549532012E-3</v>
      </c>
      <c r="FN42">
        <f t="shared" si="84"/>
        <v>-7.1913481874969355E-4</v>
      </c>
    </row>
    <row r="43" spans="6:170" x14ac:dyDescent="0.25">
      <c r="L43" t="s">
        <v>303</v>
      </c>
      <c r="M43" s="1" t="s">
        <v>55</v>
      </c>
      <c r="N43">
        <v>1</v>
      </c>
      <c r="O43">
        <f>N43/N46*100</f>
        <v>0.10582010582010583</v>
      </c>
      <c r="P43">
        <f t="shared" si="12"/>
        <v>1.0582010582010583E-3</v>
      </c>
      <c r="Q43">
        <f t="shared" si="13"/>
        <v>1.1197894795778394E-6</v>
      </c>
      <c r="R43">
        <f t="shared" si="14"/>
        <v>-6.8511849274937431</v>
      </c>
      <c r="S43">
        <f t="shared" si="15"/>
        <v>-7.2499311402050197E-3</v>
      </c>
      <c r="T43">
        <f t="shared" si="16"/>
        <v>-1.9522796407285378E-3</v>
      </c>
      <c r="U43">
        <f t="shared" si="17"/>
        <v>5.838406118550437</v>
      </c>
      <c r="W43" t="s">
        <v>303</v>
      </c>
      <c r="X43" s="2" t="s">
        <v>211</v>
      </c>
      <c r="Y43" s="2">
        <v>1</v>
      </c>
      <c r="AA43">
        <v>17</v>
      </c>
      <c r="AC43" s="9">
        <f t="shared" si="88"/>
        <v>18</v>
      </c>
      <c r="AD43" s="9">
        <f t="shared" si="18"/>
        <v>1.6438356164383561</v>
      </c>
      <c r="AE43" s="9">
        <f t="shared" si="19"/>
        <v>1.643835616438356E-2</v>
      </c>
      <c r="AF43" s="9">
        <f t="shared" si="20"/>
        <v>2.7021955338712701E-4</v>
      </c>
      <c r="AG43" s="9">
        <f t="shared" si="21"/>
        <v>-4.1081378843544369</v>
      </c>
      <c r="AH43" s="9">
        <f t="shared" si="22"/>
        <v>-6.7531033715415398E-2</v>
      </c>
      <c r="AI43" s="9">
        <f t="shared" si="23"/>
        <v>-1.744446581955653E-2</v>
      </c>
      <c r="AJ43" s="9">
        <f t="shared" si="24"/>
        <v>6.7608659905015571</v>
      </c>
      <c r="AK43" s="9"/>
      <c r="AL43" s="9"/>
      <c r="AM43" t="s">
        <v>303</v>
      </c>
      <c r="AN43" s="18" t="s">
        <v>540</v>
      </c>
      <c r="AO43" s="38">
        <f t="shared" si="25"/>
        <v>0.20639834881320948</v>
      </c>
      <c r="AP43">
        <v>2</v>
      </c>
      <c r="AQ43">
        <v>1</v>
      </c>
      <c r="AR43">
        <v>1</v>
      </c>
      <c r="AW43">
        <f t="shared" si="26"/>
        <v>2.0491803278688526E-3</v>
      </c>
      <c r="AX43">
        <f t="shared" si="27"/>
        <v>4.1991400161246981E-6</v>
      </c>
      <c r="AY43">
        <f t="shared" si="28"/>
        <v>-6.1903154058531475</v>
      </c>
      <c r="AZ43">
        <f t="shared" si="29"/>
        <v>-1.2685072552977761E-2</v>
      </c>
      <c r="BA43">
        <f t="shared" si="30"/>
        <v>-3.0857362624354579E-3</v>
      </c>
      <c r="BB43">
        <f t="shared" si="31"/>
        <v>8.7217468765167201</v>
      </c>
      <c r="BE43" t="s">
        <v>303</v>
      </c>
      <c r="BF43" s="1" t="s">
        <v>31</v>
      </c>
      <c r="BG43">
        <v>2</v>
      </c>
      <c r="BH43">
        <f>BG43/BG65*100</f>
        <v>0.24213075060532688</v>
      </c>
      <c r="BI43">
        <v>1</v>
      </c>
      <c r="BJ43">
        <v>1</v>
      </c>
      <c r="BN43">
        <f t="shared" si="89"/>
        <v>2.4096385542168677E-3</v>
      </c>
      <c r="BO43">
        <f t="shared" si="90"/>
        <v>5.8063579619683563E-6</v>
      </c>
      <c r="BP43">
        <f t="shared" si="91"/>
        <v>-6.0282785202306979</v>
      </c>
      <c r="BQ43">
        <f t="shared" si="92"/>
        <v>-1.4525972337905297E-2</v>
      </c>
      <c r="BR43">
        <f t="shared" si="93"/>
        <v>-3.5335485392778993E-3</v>
      </c>
      <c r="BS43">
        <f t="shared" si="94"/>
        <v>8.9298827999525709</v>
      </c>
      <c r="BV43" t="s">
        <v>305</v>
      </c>
      <c r="BW43" s="1" t="s">
        <v>201</v>
      </c>
      <c r="BX43">
        <v>1</v>
      </c>
      <c r="BZ43">
        <v>5</v>
      </c>
      <c r="CA43">
        <f t="shared" si="32"/>
        <v>6</v>
      </c>
      <c r="CB43">
        <f>CA43/CA49*100</f>
        <v>6.5912336592332199E-2</v>
      </c>
      <c r="CC43">
        <f t="shared" si="33"/>
        <v>6.6622251832111927E-4</v>
      </c>
      <c r="CD43">
        <f t="shared" si="34"/>
        <v>4.4385244391813407E-7</v>
      </c>
      <c r="CE43">
        <f t="shared" si="35"/>
        <v>-7.3138868316334618</v>
      </c>
      <c r="CF43">
        <f t="shared" si="36"/>
        <v>-4.8726761036865171E-3</v>
      </c>
      <c r="CG43">
        <f t="shared" si="37"/>
        <v>-1.2800389098799555E-3</v>
      </c>
      <c r="CH43">
        <f t="shared" si="38"/>
        <v>4.8264299747314352</v>
      </c>
      <c r="CK43" t="s">
        <v>315</v>
      </c>
      <c r="CL43" s="1" t="s">
        <v>154</v>
      </c>
      <c r="CM43">
        <v>4</v>
      </c>
      <c r="CP43">
        <f t="shared" si="39"/>
        <v>4</v>
      </c>
      <c r="CQ43" s="36">
        <f t="shared" si="40"/>
        <v>0.35842293906810035</v>
      </c>
      <c r="CR43">
        <f t="shared" si="41"/>
        <v>3.5682426404995541E-3</v>
      </c>
      <c r="CS43">
        <f t="shared" si="42"/>
        <v>1.2732355541479231E-5</v>
      </c>
      <c r="CT43">
        <f t="shared" si="43"/>
        <v>-5.6356820619522692</v>
      </c>
      <c r="CU43">
        <f t="shared" si="44"/>
        <v>-2.0109481041756538E-2</v>
      </c>
      <c r="CV43">
        <f t="shared" si="45"/>
        <v>-5.3465597211512271E-3</v>
      </c>
      <c r="CW43">
        <f t="shared" si="46"/>
        <v>5.9850321673386508</v>
      </c>
      <c r="CZ43" t="s">
        <v>303</v>
      </c>
      <c r="DA43" s="1" t="s">
        <v>290</v>
      </c>
      <c r="DB43">
        <v>5</v>
      </c>
      <c r="DC43">
        <v>1</v>
      </c>
      <c r="DD43">
        <v>1</v>
      </c>
      <c r="DE43">
        <f t="shared" si="47"/>
        <v>7</v>
      </c>
      <c r="DF43" s="36">
        <f t="shared" si="48"/>
        <v>0.94339622641509435</v>
      </c>
      <c r="DG43">
        <f t="shared" si="49"/>
        <v>9.4086021505376347E-3</v>
      </c>
      <c r="DH43">
        <f t="shared" si="50"/>
        <v>8.8521794427101402E-5</v>
      </c>
      <c r="DI43">
        <f t="shared" si="51"/>
        <v>-4.6661308857777781</v>
      </c>
      <c r="DJ43">
        <f t="shared" si="52"/>
        <v>-4.3901769086618879E-2</v>
      </c>
      <c r="DK43">
        <f t="shared" si="53"/>
        <v>-1.0858573433359546E-2</v>
      </c>
      <c r="DL43">
        <f t="shared" si="54"/>
        <v>8.4693969237312228</v>
      </c>
      <c r="DU43">
        <f>STDEV(DU5:DU41)</f>
        <v>7.7517182010722149E-2</v>
      </c>
      <c r="DV43">
        <f t="shared" si="60"/>
        <v>2.1467445089040367E-2</v>
      </c>
      <c r="DW43">
        <f>STDEV(DW5:DW41)</f>
        <v>2.7012892057857038E-15</v>
      </c>
      <c r="DY43" t="s">
        <v>303</v>
      </c>
      <c r="DZ43" s="1" t="s">
        <v>157</v>
      </c>
      <c r="EA43">
        <v>2</v>
      </c>
      <c r="ED43">
        <f t="shared" si="62"/>
        <v>2</v>
      </c>
      <c r="EE43">
        <f t="shared" si="63"/>
        <v>0.16764459346186086</v>
      </c>
      <c r="EF43">
        <f t="shared" si="64"/>
        <v>1.6764459346186086E-3</v>
      </c>
      <c r="EG43">
        <f t="shared" si="65"/>
        <v>2.8104709716992599E-6</v>
      </c>
      <c r="EH43">
        <f t="shared" si="66"/>
        <v>-6.3910792415379705</v>
      </c>
      <c r="EI43">
        <f t="shared" si="67"/>
        <v>-1.0714298812301711E-2</v>
      </c>
      <c r="EJ43">
        <f t="shared" si="68"/>
        <v>-2.7676937421001928E-3</v>
      </c>
      <c r="EK43">
        <f t="shared" si="69"/>
        <v>6.6344576245322022</v>
      </c>
      <c r="EM43" t="s">
        <v>303</v>
      </c>
      <c r="EN43" t="s">
        <v>119</v>
      </c>
      <c r="ER43">
        <v>1</v>
      </c>
      <c r="ES43">
        <f t="shared" si="70"/>
        <v>1</v>
      </c>
      <c r="ET43">
        <f t="shared" si="71"/>
        <v>1.2521913348359628E-2</v>
      </c>
      <c r="EU43">
        <f t="shared" si="72"/>
        <v>1.2521913348359628E-4</v>
      </c>
      <c r="EV43">
        <f t="shared" si="73"/>
        <v>1.5679831390382703E-8</v>
      </c>
      <c r="EW43">
        <f t="shared" si="74"/>
        <v>-8.9854452876231665</v>
      </c>
      <c r="EX43">
        <f t="shared" si="75"/>
        <v>-1.1251496728804365E-3</v>
      </c>
      <c r="EY43">
        <f t="shared" si="76"/>
        <v>-2.8910627590556176E-4</v>
      </c>
      <c r="EZ43">
        <f t="shared" si="77"/>
        <v>5.3419723189586055</v>
      </c>
      <c r="FB43" t="s">
        <v>303</v>
      </c>
      <c r="FC43" t="s">
        <v>119</v>
      </c>
      <c r="FD43">
        <v>1</v>
      </c>
      <c r="FE43">
        <v>2</v>
      </c>
      <c r="FF43">
        <v>6</v>
      </c>
      <c r="FG43">
        <v>1</v>
      </c>
      <c r="FH43">
        <f t="shared" si="78"/>
        <v>10</v>
      </c>
      <c r="FI43">
        <f t="shared" si="79"/>
        <v>0.17702248185519562</v>
      </c>
      <c r="FJ43">
        <f t="shared" si="80"/>
        <v>1.7702248185519562E-3</v>
      </c>
      <c r="FK43">
        <f t="shared" si="81"/>
        <v>3.133695908217306E-6</v>
      </c>
      <c r="FL43">
        <f t="shared" si="82"/>
        <v>-6.3366487243312166</v>
      </c>
      <c r="FM43">
        <f t="shared" si="83"/>
        <v>-1.1217292838256713E-2</v>
      </c>
      <c r="FN43">
        <f t="shared" si="84"/>
        <v>-2.8673892823973951E-3</v>
      </c>
    </row>
    <row r="44" spans="6:170" x14ac:dyDescent="0.25">
      <c r="L44" t="s">
        <v>315</v>
      </c>
      <c r="M44" s="1" t="s">
        <v>69</v>
      </c>
      <c r="N44">
        <v>2</v>
      </c>
      <c r="O44">
        <f>N44/N46*100</f>
        <v>0.21164021164021166</v>
      </c>
      <c r="P44">
        <f t="shared" si="12"/>
        <v>2.1164021164021165E-3</v>
      </c>
      <c r="Q44">
        <f t="shared" si="13"/>
        <v>4.4791579183113577E-6</v>
      </c>
      <c r="R44">
        <f t="shared" si="14"/>
        <v>-6.1580377469337977</v>
      </c>
      <c r="S44">
        <f t="shared" si="15"/>
        <v>-1.303288412049481E-2</v>
      </c>
      <c r="T44">
        <f t="shared" si="16"/>
        <v>-3.5095277232794174E-3</v>
      </c>
      <c r="U44">
        <f t="shared" si="17"/>
        <v>5.838406118550437</v>
      </c>
      <c r="W44" t="s">
        <v>321</v>
      </c>
      <c r="X44" s="12" t="s">
        <v>212</v>
      </c>
      <c r="Z44">
        <v>8</v>
      </c>
      <c r="AC44" s="9">
        <f t="shared" si="88"/>
        <v>8</v>
      </c>
      <c r="AD44" s="9">
        <f t="shared" si="18"/>
        <v>0.73059360730593603</v>
      </c>
      <c r="AE44" s="9">
        <f t="shared" si="19"/>
        <v>7.3059360730593605E-3</v>
      </c>
      <c r="AF44" s="9">
        <f t="shared" si="20"/>
        <v>5.3376701903630031E-5</v>
      </c>
      <c r="AG44" s="9">
        <f t="shared" si="21"/>
        <v>-4.9190681005707653</v>
      </c>
      <c r="AH44" s="9">
        <f t="shared" si="22"/>
        <v>-3.5938397081795546E-2</v>
      </c>
      <c r="AI44" s="9">
        <f t="shared" si="23"/>
        <v>-9.2835264768044469E-3</v>
      </c>
      <c r="AJ44" s="9">
        <f t="shared" si="24"/>
        <v>6.7608659905015571</v>
      </c>
      <c r="AK44" s="9"/>
      <c r="AL44" s="9"/>
      <c r="AM44" t="s">
        <v>322</v>
      </c>
      <c r="AN44" s="1" t="s">
        <v>445</v>
      </c>
      <c r="AO44" s="2">
        <f t="shared" si="25"/>
        <v>2.0639834881320951</v>
      </c>
      <c r="AP44">
        <v>20</v>
      </c>
      <c r="AQ44">
        <v>10</v>
      </c>
      <c r="AR44">
        <v>7</v>
      </c>
      <c r="AW44">
        <f t="shared" si="26"/>
        <v>2.0491803278688523E-2</v>
      </c>
      <c r="AX44">
        <f t="shared" si="27"/>
        <v>4.1991400161246972E-4</v>
      </c>
      <c r="AY44">
        <f t="shared" si="28"/>
        <v>-3.8877303128591016</v>
      </c>
      <c r="AZ44">
        <f t="shared" si="29"/>
        <v>-7.9666604771702898E-2</v>
      </c>
      <c r="BA44">
        <f t="shared" si="30"/>
        <v>-1.9379481687824468E-2</v>
      </c>
      <c r="BB44">
        <f t="shared" si="31"/>
        <v>8.7217468765167201</v>
      </c>
      <c r="BE44" t="s">
        <v>315</v>
      </c>
      <c r="BF44" s="18" t="s">
        <v>136</v>
      </c>
      <c r="BG44" s="15">
        <v>1</v>
      </c>
      <c r="BH44" s="15">
        <f>BG44/BG65*100</f>
        <v>0.12106537530266344</v>
      </c>
      <c r="BI44">
        <v>1</v>
      </c>
      <c r="BN44">
        <f t="shared" si="89"/>
        <v>1.2048192771084338E-3</v>
      </c>
      <c r="BO44">
        <f t="shared" si="90"/>
        <v>1.4515894904920891E-6</v>
      </c>
      <c r="BP44">
        <f t="shared" si="91"/>
        <v>-6.7214257007906433</v>
      </c>
      <c r="BQ44">
        <f t="shared" si="92"/>
        <v>-8.0981032539646312E-3</v>
      </c>
      <c r="BR44">
        <f t="shared" si="93"/>
        <v>-1.9699225813130474E-3</v>
      </c>
      <c r="BS44">
        <f t="shared" si="94"/>
        <v>8.9298827999525709</v>
      </c>
      <c r="BV44" s="15" t="s">
        <v>315</v>
      </c>
      <c r="BW44" s="18" t="s">
        <v>474</v>
      </c>
      <c r="BX44" s="15">
        <v>3</v>
      </c>
      <c r="BY44" s="15">
        <v>8</v>
      </c>
      <c r="BZ44" s="15">
        <v>13</v>
      </c>
      <c r="CA44" s="15">
        <f t="shared" si="32"/>
        <v>24</v>
      </c>
      <c r="CB44" s="15">
        <f>CA44/CA49*100</f>
        <v>0.2636493463693288</v>
      </c>
      <c r="CC44">
        <f t="shared" si="33"/>
        <v>2.6648900732844771E-3</v>
      </c>
      <c r="CD44">
        <f t="shared" si="34"/>
        <v>7.1016391026901452E-6</v>
      </c>
      <c r="CE44">
        <f t="shared" si="35"/>
        <v>-5.927592470513571</v>
      </c>
      <c r="CF44">
        <f t="shared" si="36"/>
        <v>-1.5796382333147424E-2</v>
      </c>
      <c r="CG44">
        <f t="shared" si="37"/>
        <v>-4.1496671626647212E-3</v>
      </c>
      <c r="CH44">
        <f t="shared" si="38"/>
        <v>4.8264299747314352</v>
      </c>
      <c r="CK44" t="s">
        <v>568</v>
      </c>
      <c r="CL44" s="1" t="s">
        <v>218</v>
      </c>
      <c r="CN44">
        <v>1</v>
      </c>
      <c r="CP44">
        <f t="shared" si="39"/>
        <v>1</v>
      </c>
      <c r="CQ44" s="36">
        <f t="shared" si="40"/>
        <v>8.9605734767025089E-2</v>
      </c>
      <c r="CR44">
        <f t="shared" si="41"/>
        <v>8.9206066012488853E-4</v>
      </c>
      <c r="CS44">
        <f t="shared" si="42"/>
        <v>7.9577222134245192E-7</v>
      </c>
      <c r="CT44">
        <f t="shared" si="43"/>
        <v>-7.02197642307216</v>
      </c>
      <c r="CU44">
        <f t="shared" si="44"/>
        <v>-6.2640289233471544E-3</v>
      </c>
      <c r="CV44">
        <f t="shared" si="45"/>
        <v>-1.6654335665923674E-3</v>
      </c>
      <c r="CW44">
        <f t="shared" si="46"/>
        <v>5.9850321673386508</v>
      </c>
      <c r="CZ44" t="s">
        <v>303</v>
      </c>
      <c r="DA44" s="1" t="s">
        <v>440</v>
      </c>
      <c r="DB44">
        <v>1</v>
      </c>
      <c r="DE44">
        <f t="shared" si="47"/>
        <v>1</v>
      </c>
      <c r="DF44" s="36">
        <f t="shared" si="48"/>
        <v>0.13477088948787064</v>
      </c>
      <c r="DG44">
        <f t="shared" si="49"/>
        <v>1.3440860215053765E-3</v>
      </c>
      <c r="DH44">
        <f t="shared" si="50"/>
        <v>1.8065672332061513E-6</v>
      </c>
      <c r="DI44">
        <f t="shared" si="51"/>
        <v>-6.6120410348330916</v>
      </c>
      <c r="DJ44">
        <f t="shared" si="52"/>
        <v>-8.8871519285391026E-3</v>
      </c>
      <c r="DK44">
        <f t="shared" si="53"/>
        <v>-2.1981299122380516E-3</v>
      </c>
      <c r="DL44">
        <f t="shared" si="54"/>
        <v>8.4693969237312228</v>
      </c>
      <c r="DY44" t="s">
        <v>570</v>
      </c>
      <c r="DZ44" s="1" t="s">
        <v>257</v>
      </c>
      <c r="EA44">
        <v>1</v>
      </c>
      <c r="ED44">
        <f t="shared" si="62"/>
        <v>1</v>
      </c>
      <c r="EE44">
        <f t="shared" si="63"/>
        <v>8.3822296730930432E-2</v>
      </c>
      <c r="EF44">
        <f t="shared" si="64"/>
        <v>8.3822296730930428E-4</v>
      </c>
      <c r="EG44">
        <f t="shared" si="65"/>
        <v>7.0261774292481497E-7</v>
      </c>
      <c r="EH44">
        <f t="shared" si="66"/>
        <v>-7.0842264220979159</v>
      </c>
      <c r="EI44">
        <f t="shared" si="67"/>
        <v>-5.9381612926218911E-3</v>
      </c>
      <c r="EJ44">
        <f t="shared" si="68"/>
        <v>-1.5339325640518077E-3</v>
      </c>
      <c r="EK44">
        <f t="shared" si="69"/>
        <v>6.6344576245322022</v>
      </c>
      <c r="EM44" t="s">
        <v>568</v>
      </c>
      <c r="EN44" t="s">
        <v>548</v>
      </c>
      <c r="EO44">
        <v>77</v>
      </c>
      <c r="EP44">
        <v>70</v>
      </c>
      <c r="EQ44">
        <v>1250</v>
      </c>
      <c r="ER44">
        <v>1120</v>
      </c>
      <c r="ES44">
        <f t="shared" si="70"/>
        <v>2517</v>
      </c>
      <c r="ET44">
        <f t="shared" si="71"/>
        <v>31.517655897821189</v>
      </c>
      <c r="EU44">
        <f t="shared" si="72"/>
        <v>0.3151765589782119</v>
      </c>
      <c r="EV44">
        <f t="shared" si="73"/>
        <v>9.933626332934628E-2</v>
      </c>
      <c r="EW44">
        <f t="shared" si="74"/>
        <v>-1.1546222924878506</v>
      </c>
      <c r="EX44">
        <f t="shared" si="75"/>
        <v>-0.36390988106585531</v>
      </c>
      <c r="EY44">
        <f t="shared" si="76"/>
        <v>-9.3506342325858083E-2</v>
      </c>
      <c r="EZ44">
        <f t="shared" si="77"/>
        <v>5.3419723189586055</v>
      </c>
      <c r="FB44" t="s">
        <v>568</v>
      </c>
      <c r="FC44" t="s">
        <v>525</v>
      </c>
      <c r="FD44">
        <v>1</v>
      </c>
      <c r="FH44">
        <f t="shared" si="78"/>
        <v>1</v>
      </c>
      <c r="FI44">
        <f t="shared" si="79"/>
        <v>1.7702248185519558E-2</v>
      </c>
      <c r="FJ44">
        <f t="shared" si="80"/>
        <v>1.770224818551956E-4</v>
      </c>
      <c r="FK44">
        <f t="shared" si="81"/>
        <v>3.1336959082173057E-8</v>
      </c>
      <c r="FL44">
        <f t="shared" si="82"/>
        <v>-8.6392338173252625</v>
      </c>
      <c r="FM44">
        <f t="shared" si="83"/>
        <v>-1.5293386116702534E-3</v>
      </c>
      <c r="FN44">
        <f t="shared" si="84"/>
        <v>-3.9093292895982777E-4</v>
      </c>
    </row>
    <row r="45" spans="6:170" x14ac:dyDescent="0.25">
      <c r="L45" t="s">
        <v>303</v>
      </c>
      <c r="M45" s="1" t="s">
        <v>413</v>
      </c>
      <c r="N45">
        <v>3</v>
      </c>
      <c r="O45">
        <f>N45/N46*100</f>
        <v>0.31746031746031744</v>
      </c>
      <c r="P45">
        <f t="shared" si="12"/>
        <v>3.1746031746031746E-3</v>
      </c>
      <c r="Q45">
        <f t="shared" si="13"/>
        <v>1.0078105316200555E-5</v>
      </c>
      <c r="R45">
        <f t="shared" si="14"/>
        <v>-5.7525726388256331</v>
      </c>
      <c r="S45">
        <f t="shared" si="15"/>
        <v>-1.8262135361351215E-2</v>
      </c>
      <c r="T45">
        <f t="shared" si="16"/>
        <v>-4.9176736127160585E-3</v>
      </c>
      <c r="U45">
        <f t="shared" si="17"/>
        <v>5.838406118550437</v>
      </c>
      <c r="W45" t="s">
        <v>315</v>
      </c>
      <c r="X45" t="s">
        <v>426</v>
      </c>
      <c r="Y45">
        <v>1</v>
      </c>
      <c r="AA45">
        <v>3</v>
      </c>
      <c r="AC45" s="15">
        <f t="shared" si="88"/>
        <v>4</v>
      </c>
      <c r="AD45" s="15">
        <f t="shared" si="18"/>
        <v>0.36529680365296802</v>
      </c>
      <c r="AE45" s="9">
        <f t="shared" si="19"/>
        <v>3.6529680365296802E-3</v>
      </c>
      <c r="AF45" s="9">
        <f t="shared" si="20"/>
        <v>1.3344175475907508E-5</v>
      </c>
      <c r="AG45" s="9">
        <f t="shared" si="21"/>
        <v>-5.6122152811307107</v>
      </c>
      <c r="AH45" s="9">
        <f t="shared" si="22"/>
        <v>-2.0501243036093918E-2</v>
      </c>
      <c r="AI45" s="9">
        <f t="shared" si="23"/>
        <v>-5.2958353178580815E-3</v>
      </c>
      <c r="AJ45" s="9">
        <f t="shared" si="24"/>
        <v>6.7608659905015571</v>
      </c>
      <c r="AK45" s="9"/>
      <c r="AL45" s="9"/>
      <c r="AM45" t="s">
        <v>303</v>
      </c>
      <c r="AN45" s="1" t="s">
        <v>446</v>
      </c>
      <c r="AO45" s="2">
        <f t="shared" si="25"/>
        <v>0.20639834881320948</v>
      </c>
      <c r="AP45">
        <v>2</v>
      </c>
      <c r="AQ45">
        <v>1</v>
      </c>
      <c r="AR45">
        <v>1</v>
      </c>
      <c r="AW45">
        <f t="shared" si="26"/>
        <v>2.0491803278688526E-3</v>
      </c>
      <c r="AX45">
        <f t="shared" si="27"/>
        <v>4.1991400161246981E-6</v>
      </c>
      <c r="AY45">
        <f t="shared" si="28"/>
        <v>-6.1903154058531475</v>
      </c>
      <c r="AZ45">
        <f t="shared" si="29"/>
        <v>-1.2685072552977761E-2</v>
      </c>
      <c r="BA45">
        <f t="shared" si="30"/>
        <v>-3.0857362624354579E-3</v>
      </c>
      <c r="BB45">
        <f t="shared" si="31"/>
        <v>8.7217468765167201</v>
      </c>
      <c r="BE45" t="s">
        <v>568</v>
      </c>
      <c r="BF45" s="1" t="s">
        <v>67</v>
      </c>
      <c r="BG45">
        <v>1</v>
      </c>
      <c r="BH45">
        <f>BG45/BG65*100</f>
        <v>0.12106537530266344</v>
      </c>
      <c r="BI45">
        <v>1</v>
      </c>
      <c r="BN45">
        <f t="shared" si="89"/>
        <v>1.2048192771084338E-3</v>
      </c>
      <c r="BO45">
        <f t="shared" si="90"/>
        <v>1.4515894904920891E-6</v>
      </c>
      <c r="BP45">
        <f t="shared" si="91"/>
        <v>-6.7214257007906433</v>
      </c>
      <c r="BQ45">
        <f t="shared" si="92"/>
        <v>-8.0981032539646312E-3</v>
      </c>
      <c r="BR45">
        <f t="shared" si="93"/>
        <v>-1.9699225813130474E-3</v>
      </c>
      <c r="BS45">
        <f t="shared" si="94"/>
        <v>8.9298827999525709</v>
      </c>
      <c r="BV45" t="s">
        <v>569</v>
      </c>
      <c r="BW45" t="s">
        <v>278</v>
      </c>
      <c r="BX45">
        <v>33</v>
      </c>
      <c r="BY45">
        <v>70</v>
      </c>
      <c r="BZ45">
        <v>105</v>
      </c>
      <c r="CA45">
        <f t="shared" si="32"/>
        <v>208</v>
      </c>
      <c r="CB45">
        <f>CA45/CA49*100</f>
        <v>2.2849610018675159</v>
      </c>
      <c r="CC45">
        <f t="shared" si="33"/>
        <v>2.3095713968465468E-2</v>
      </c>
      <c r="CD45">
        <f t="shared" si="34"/>
        <v>5.3341200371317097E-4</v>
      </c>
      <c r="CE45">
        <f t="shared" si="35"/>
        <v>-3.7681082211601988</v>
      </c>
      <c r="CF45">
        <f t="shared" si="36"/>
        <v>-8.7027149678139168E-2</v>
      </c>
      <c r="CG45">
        <f t="shared" si="37"/>
        <v>-2.286179820564814E-2</v>
      </c>
      <c r="CH45">
        <f t="shared" si="38"/>
        <v>4.8264299747314352</v>
      </c>
      <c r="CK45" t="s">
        <v>303</v>
      </c>
      <c r="CL45" s="1" t="s">
        <v>488</v>
      </c>
      <c r="CN45">
        <v>1</v>
      </c>
      <c r="CP45">
        <f t="shared" si="39"/>
        <v>1</v>
      </c>
      <c r="CQ45" s="36">
        <f t="shared" si="40"/>
        <v>8.9605734767025089E-2</v>
      </c>
      <c r="CR45">
        <f t="shared" si="41"/>
        <v>8.9206066012488853E-4</v>
      </c>
      <c r="CS45">
        <f t="shared" si="42"/>
        <v>7.9577222134245192E-7</v>
      </c>
      <c r="CT45">
        <f t="shared" si="43"/>
        <v>-7.02197642307216</v>
      </c>
      <c r="CU45">
        <f t="shared" si="44"/>
        <v>-6.2640289233471544E-3</v>
      </c>
      <c r="CV45">
        <f t="shared" si="45"/>
        <v>-1.6654335665923674E-3</v>
      </c>
      <c r="CW45">
        <f t="shared" si="46"/>
        <v>5.9850321673386508</v>
      </c>
      <c r="CZ45" t="s">
        <v>303</v>
      </c>
      <c r="DA45" s="1" t="s">
        <v>289</v>
      </c>
      <c r="DB45">
        <v>3</v>
      </c>
      <c r="DE45">
        <f t="shared" si="47"/>
        <v>3</v>
      </c>
      <c r="DF45" s="36">
        <f t="shared" si="48"/>
        <v>0.40431266846361186</v>
      </c>
      <c r="DG45">
        <f t="shared" si="49"/>
        <v>4.0322580645161289E-3</v>
      </c>
      <c r="DH45">
        <f t="shared" si="50"/>
        <v>1.6259105098855357E-5</v>
      </c>
      <c r="DI45">
        <f t="shared" si="51"/>
        <v>-5.5134287461649825</v>
      </c>
      <c r="DJ45">
        <f t="shared" si="52"/>
        <v>-2.2231567524858799E-2</v>
      </c>
      <c r="DK45">
        <f t="shared" si="53"/>
        <v>-5.4987102690800113E-3</v>
      </c>
      <c r="DL45">
        <f t="shared" si="54"/>
        <v>8.4693969237312228</v>
      </c>
      <c r="DY45" t="s">
        <v>568</v>
      </c>
      <c r="DZ45" s="1" t="s">
        <v>500</v>
      </c>
      <c r="EA45">
        <v>18</v>
      </c>
      <c r="EC45">
        <v>5</v>
      </c>
      <c r="ED45">
        <f t="shared" si="62"/>
        <v>23</v>
      </c>
      <c r="EE45">
        <f t="shared" si="63"/>
        <v>1.9279128248113997</v>
      </c>
      <c r="EF45">
        <f t="shared" si="64"/>
        <v>1.9279128248113998E-2</v>
      </c>
      <c r="EG45">
        <f t="shared" si="65"/>
        <v>3.7168478600722708E-4</v>
      </c>
      <c r="EH45">
        <f t="shared" si="66"/>
        <v>-3.9487322061687666</v>
      </c>
      <c r="EI45">
        <f t="shared" si="67"/>
        <v>-7.6128114620185774E-2</v>
      </c>
      <c r="EJ45">
        <f t="shared" si="68"/>
        <v>-1.9665244559938743E-2</v>
      </c>
      <c r="EK45">
        <f t="shared" si="69"/>
        <v>6.6344576245322022</v>
      </c>
      <c r="EM45" t="s">
        <v>305</v>
      </c>
      <c r="EN45" t="s">
        <v>509</v>
      </c>
      <c r="EO45">
        <v>12</v>
      </c>
      <c r="EP45">
        <v>19</v>
      </c>
      <c r="EQ45">
        <v>1</v>
      </c>
      <c r="ER45">
        <v>5</v>
      </c>
      <c r="ES45">
        <f t="shared" ref="ES45:ES53" si="95">SUM(EO45:ER45)</f>
        <v>37</v>
      </c>
      <c r="ET45">
        <f t="shared" si="71"/>
        <v>0.46331079388930629</v>
      </c>
      <c r="EU45">
        <f t="shared" si="72"/>
        <v>4.6331079388930631E-3</v>
      </c>
      <c r="EV45">
        <f t="shared" si="73"/>
        <v>2.1465689173433926E-5</v>
      </c>
      <c r="EW45">
        <f t="shared" si="74"/>
        <v>-5.3745273749789417</v>
      </c>
      <c r="EX45">
        <f t="shared" si="75"/>
        <v>-2.490076544881303E-2</v>
      </c>
      <c r="EY45">
        <f t="shared" si="76"/>
        <v>-6.3982310439414892E-3</v>
      </c>
      <c r="EZ45">
        <f t="shared" si="77"/>
        <v>5.3419723189586055</v>
      </c>
      <c r="FB45" t="s">
        <v>568</v>
      </c>
      <c r="FC45" t="s">
        <v>524</v>
      </c>
      <c r="FD45">
        <v>3</v>
      </c>
      <c r="FF45">
        <v>2</v>
      </c>
      <c r="FH45">
        <f t="shared" si="78"/>
        <v>5</v>
      </c>
      <c r="FI45">
        <f t="shared" si="79"/>
        <v>8.8511240927597809E-2</v>
      </c>
      <c r="FJ45">
        <f t="shared" si="80"/>
        <v>8.8511240927597809E-4</v>
      </c>
      <c r="FK45">
        <f t="shared" si="81"/>
        <v>7.8342397705432651E-7</v>
      </c>
      <c r="FL45">
        <f t="shared" si="82"/>
        <v>-7.029795904891162</v>
      </c>
      <c r="FM45">
        <f t="shared" si="83"/>
        <v>-6.2221595900966205E-3</v>
      </c>
      <c r="FN45">
        <f t="shared" si="84"/>
        <v>-1.5905222391236027E-3</v>
      </c>
    </row>
    <row r="46" spans="6:170" x14ac:dyDescent="0.25">
      <c r="N46" s="3">
        <f>SUM(N5:N45)</f>
        <v>945</v>
      </c>
      <c r="S46" s="3">
        <f>SUM(S5:S45)</f>
        <v>-2.9466533132777473</v>
      </c>
      <c r="T46" s="3">
        <f>SUM(T5:T45)</f>
        <v>-0.79348219459567915</v>
      </c>
      <c r="U46" s="3">
        <f>AVERAGE(U5:U45)</f>
        <v>5.838406118550437</v>
      </c>
      <c r="W46" t="s">
        <v>321</v>
      </c>
      <c r="X46" s="1" t="s">
        <v>121</v>
      </c>
      <c r="Y46">
        <v>5</v>
      </c>
      <c r="AC46" s="9">
        <f t="shared" si="88"/>
        <v>5</v>
      </c>
      <c r="AD46" s="9">
        <f t="shared" si="18"/>
        <v>0.45662100456621002</v>
      </c>
      <c r="AE46" s="9">
        <f t="shared" si="19"/>
        <v>4.5662100456621002E-3</v>
      </c>
      <c r="AF46" s="9">
        <f t="shared" si="20"/>
        <v>2.0850274181105478E-5</v>
      </c>
      <c r="AG46" s="9">
        <f t="shared" si="21"/>
        <v>-5.389071729816501</v>
      </c>
      <c r="AH46" s="9">
        <f t="shared" si="22"/>
        <v>-2.4607633469481738E-2</v>
      </c>
      <c r="AI46" s="9">
        <f t="shared" si="23"/>
        <v>-6.3565889242498024E-3</v>
      </c>
      <c r="AJ46" s="9">
        <f t="shared" si="24"/>
        <v>6.7608659905015571</v>
      </c>
      <c r="AK46" s="9"/>
      <c r="AL46" s="9"/>
      <c r="AM46" t="s">
        <v>303</v>
      </c>
      <c r="AN46" s="1" t="s">
        <v>447</v>
      </c>
      <c r="AO46" s="2">
        <f t="shared" si="25"/>
        <v>0.20639834881320948</v>
      </c>
      <c r="AP46">
        <v>2</v>
      </c>
      <c r="AQ46">
        <v>2</v>
      </c>
      <c r="AW46">
        <f t="shared" si="26"/>
        <v>2.0491803278688526E-3</v>
      </c>
      <c r="AX46">
        <f t="shared" si="27"/>
        <v>4.1991400161246981E-6</v>
      </c>
      <c r="AY46">
        <f t="shared" si="28"/>
        <v>-6.1903154058531475</v>
      </c>
      <c r="AZ46">
        <f t="shared" si="29"/>
        <v>-1.2685072552977761E-2</v>
      </c>
      <c r="BA46">
        <f t="shared" si="30"/>
        <v>-3.0857362624354579E-3</v>
      </c>
      <c r="BB46">
        <f t="shared" si="31"/>
        <v>8.7217468765167201</v>
      </c>
      <c r="BE46" t="s">
        <v>315</v>
      </c>
      <c r="BF46" s="1" t="s">
        <v>149</v>
      </c>
      <c r="BG46">
        <v>5</v>
      </c>
      <c r="BH46">
        <f>BG46/BG65*100</f>
        <v>0.60532687651331718</v>
      </c>
      <c r="BI46">
        <v>1</v>
      </c>
      <c r="BJ46">
        <v>3</v>
      </c>
      <c r="BK46">
        <v>1</v>
      </c>
      <c r="BN46">
        <f t="shared" si="89"/>
        <v>6.024096385542169E-3</v>
      </c>
      <c r="BO46">
        <f t="shared" si="90"/>
        <v>3.6289737262302225E-5</v>
      </c>
      <c r="BP46">
        <f t="shared" si="91"/>
        <v>-5.1119877883565428</v>
      </c>
      <c r="BQ46">
        <f t="shared" si="92"/>
        <v>-3.0795107158774357E-2</v>
      </c>
      <c r="BR46">
        <f t="shared" si="93"/>
        <v>-7.491134045040127E-3</v>
      </c>
      <c r="BS46">
        <f t="shared" si="94"/>
        <v>8.9298827999525709</v>
      </c>
      <c r="BV46" t="s">
        <v>303</v>
      </c>
      <c r="BW46" t="s">
        <v>279</v>
      </c>
      <c r="BX46">
        <v>65</v>
      </c>
      <c r="BY46">
        <v>1233</v>
      </c>
      <c r="BZ46">
        <v>1080</v>
      </c>
      <c r="CA46">
        <f t="shared" si="32"/>
        <v>2378</v>
      </c>
      <c r="CB46">
        <f>CA46/CA49*100</f>
        <v>26.123256069427665</v>
      </c>
      <c r="CC46">
        <f t="shared" si="33"/>
        <v>0.26404619142793695</v>
      </c>
      <c r="CD46">
        <f t="shared" si="34"/>
        <v>6.9720391207598723E-2</v>
      </c>
      <c r="CE46">
        <f t="shared" si="35"/>
        <v>-1.3316312236107897</v>
      </c>
      <c r="CF46">
        <f t="shared" si="36"/>
        <v>-0.3516121529809525</v>
      </c>
      <c r="CG46">
        <f t="shared" si="37"/>
        <v>-9.2367567107891277E-2</v>
      </c>
      <c r="CH46">
        <f t="shared" si="38"/>
        <v>4.8264299747314352</v>
      </c>
      <c r="CK46" t="s">
        <v>303</v>
      </c>
      <c r="CL46" s="1" t="s">
        <v>21</v>
      </c>
      <c r="CO46">
        <v>3</v>
      </c>
      <c r="CP46">
        <f t="shared" si="39"/>
        <v>3</v>
      </c>
      <c r="CQ46" s="36">
        <f t="shared" si="40"/>
        <v>0.26881720430107531</v>
      </c>
      <c r="CR46">
        <f t="shared" si="41"/>
        <v>2.6761819803746653E-3</v>
      </c>
      <c r="CS46">
        <f t="shared" si="42"/>
        <v>7.1619499920820649E-6</v>
      </c>
      <c r="CT46">
        <f t="shared" si="43"/>
        <v>-5.92336413440405</v>
      </c>
      <c r="CU46">
        <f t="shared" si="44"/>
        <v>-1.5852000359689696E-2</v>
      </c>
      <c r="CV46">
        <f t="shared" si="45"/>
        <v>-4.2146123237493836E-3</v>
      </c>
      <c r="CW46">
        <f t="shared" si="46"/>
        <v>5.9850321673386508</v>
      </c>
      <c r="CZ46" t="s">
        <v>315</v>
      </c>
      <c r="DA46" s="1" t="s">
        <v>328</v>
      </c>
      <c r="DB46">
        <v>1</v>
      </c>
      <c r="DD46">
        <v>1</v>
      </c>
      <c r="DE46">
        <f t="shared" si="47"/>
        <v>2</v>
      </c>
      <c r="DF46" s="15">
        <f t="shared" si="48"/>
        <v>0.26954177897574128</v>
      </c>
      <c r="DG46">
        <f t="shared" si="49"/>
        <v>2.6881720430107529E-3</v>
      </c>
      <c r="DH46">
        <f t="shared" si="50"/>
        <v>7.2262689328246053E-6</v>
      </c>
      <c r="DI46">
        <f t="shared" si="51"/>
        <v>-5.9188938542731462</v>
      </c>
      <c r="DJ46">
        <f t="shared" si="52"/>
        <v>-1.5911004984605234E-2</v>
      </c>
      <c r="DK46">
        <f t="shared" si="53"/>
        <v>-3.9353953068042924E-3</v>
      </c>
      <c r="DL46">
        <f t="shared" si="54"/>
        <v>8.4693969237312228</v>
      </c>
      <c r="DY46" t="s">
        <v>303</v>
      </c>
      <c r="DZ46" t="s">
        <v>119</v>
      </c>
      <c r="EA46">
        <v>4</v>
      </c>
      <c r="EB46">
        <v>2</v>
      </c>
      <c r="EC46">
        <v>3</v>
      </c>
      <c r="ED46">
        <f t="shared" si="62"/>
        <v>9</v>
      </c>
      <c r="EE46">
        <f t="shared" si="63"/>
        <v>0.7544006705783739</v>
      </c>
      <c r="EF46">
        <f t="shared" si="64"/>
        <v>7.5440067057837385E-3</v>
      </c>
      <c r="EG46">
        <f t="shared" si="65"/>
        <v>5.6912037176910015E-5</v>
      </c>
      <c r="EH46">
        <f t="shared" si="66"/>
        <v>-4.8870018447616967</v>
      </c>
      <c r="EI46">
        <f t="shared" si="67"/>
        <v>-3.6867574688059741E-2</v>
      </c>
      <c r="EJ46">
        <f t="shared" si="68"/>
        <v>-9.523549561021992E-3</v>
      </c>
      <c r="EK46">
        <f t="shared" si="69"/>
        <v>6.6344576245322022</v>
      </c>
      <c r="EM46" t="s">
        <v>305</v>
      </c>
      <c r="EN46" t="s">
        <v>351</v>
      </c>
      <c r="EO46">
        <v>1</v>
      </c>
      <c r="EP46">
        <v>1</v>
      </c>
      <c r="ES46">
        <f t="shared" si="95"/>
        <v>2</v>
      </c>
      <c r="ET46">
        <f t="shared" si="71"/>
        <v>2.5043826696719257E-2</v>
      </c>
      <c r="EU46">
        <f t="shared" si="72"/>
        <v>2.5043826696719256E-4</v>
      </c>
      <c r="EV46">
        <f t="shared" si="73"/>
        <v>6.2719325561530813E-8</v>
      </c>
      <c r="EW46">
        <f t="shared" si="74"/>
        <v>-8.2922981070632211</v>
      </c>
      <c r="EX46">
        <f t="shared" si="75"/>
        <v>-2.0767087671082446E-3</v>
      </c>
      <c r="EY46">
        <f t="shared" si="76"/>
        <v>-5.3360859650082777E-4</v>
      </c>
      <c r="EZ46">
        <f t="shared" si="77"/>
        <v>5.3419723189586055</v>
      </c>
      <c r="FB46" t="s">
        <v>305</v>
      </c>
      <c r="FC46" t="s">
        <v>351</v>
      </c>
      <c r="FD46">
        <v>1</v>
      </c>
      <c r="FE46">
        <v>1</v>
      </c>
      <c r="FF46">
        <v>1</v>
      </c>
      <c r="FH46">
        <f t="shared" ref="FH46:FH54" si="96">SUM(FD46:FG46)</f>
        <v>3</v>
      </c>
      <c r="FI46">
        <f t="shared" si="79"/>
        <v>5.3106744556558678E-2</v>
      </c>
      <c r="FJ46">
        <f t="shared" si="80"/>
        <v>5.3106744556558679E-4</v>
      </c>
      <c r="FK46">
        <f t="shared" si="81"/>
        <v>2.820326317395575E-7</v>
      </c>
      <c r="FL46">
        <f t="shared" si="82"/>
        <v>-7.5406215286571525</v>
      </c>
      <c r="FM46">
        <f t="shared" si="83"/>
        <v>-4.0045786132008243E-3</v>
      </c>
      <c r="FN46">
        <f t="shared" si="84"/>
        <v>-1.0236592698059936E-3</v>
      </c>
    </row>
    <row r="47" spans="6:170" x14ac:dyDescent="0.25">
      <c r="S47">
        <f>STDEV(S5:S45)</f>
        <v>7.462455810569095E-2</v>
      </c>
      <c r="T47">
        <f>STDEV(T5:T45)</f>
        <v>2.0095088169897354E-2</v>
      </c>
      <c r="U47">
        <f>STDEV(U5:U45)</f>
        <v>0</v>
      </c>
      <c r="W47" t="s">
        <v>303</v>
      </c>
      <c r="X47" t="s">
        <v>215</v>
      </c>
      <c r="Y47">
        <v>3</v>
      </c>
      <c r="AC47" s="9">
        <f t="shared" si="88"/>
        <v>3</v>
      </c>
      <c r="AD47" s="9">
        <f t="shared" si="18"/>
        <v>0.27397260273972601</v>
      </c>
      <c r="AE47" s="9">
        <f t="shared" si="19"/>
        <v>2.7397260273972603E-3</v>
      </c>
      <c r="AF47" s="9">
        <f t="shared" si="20"/>
        <v>7.5060987051979735E-6</v>
      </c>
      <c r="AG47" s="9">
        <f t="shared" si="21"/>
        <v>-5.8998973535824915</v>
      </c>
      <c r="AH47" s="9">
        <f t="shared" si="22"/>
        <v>-1.6164102338582169E-2</v>
      </c>
      <c r="AI47" s="9">
        <f t="shared" si="23"/>
        <v>-4.1754748185476665E-3</v>
      </c>
      <c r="AJ47" s="9">
        <f t="shared" si="24"/>
        <v>6.7608659905015571</v>
      </c>
      <c r="AK47" s="9"/>
      <c r="AL47" s="9"/>
      <c r="AM47" t="s">
        <v>305</v>
      </c>
      <c r="AN47" s="1" t="s">
        <v>448</v>
      </c>
      <c r="AO47" s="2">
        <f t="shared" si="25"/>
        <v>0.82559339525283792</v>
      </c>
      <c r="AP47">
        <v>8</v>
      </c>
      <c r="AQ47">
        <v>7</v>
      </c>
      <c r="AR47">
        <v>1</v>
      </c>
      <c r="AW47">
        <f t="shared" si="26"/>
        <v>8.1967213114754103E-3</v>
      </c>
      <c r="AX47">
        <f t="shared" si="27"/>
        <v>6.718624025799517E-5</v>
      </c>
      <c r="AY47">
        <f t="shared" si="28"/>
        <v>-4.8040210447332568</v>
      </c>
      <c r="AZ47">
        <f t="shared" si="29"/>
        <v>-3.937722167814145E-2</v>
      </c>
      <c r="BA47">
        <f t="shared" si="30"/>
        <v>-9.5787958908975512E-3</v>
      </c>
      <c r="BB47">
        <f t="shared" si="31"/>
        <v>8.7217468765167201</v>
      </c>
      <c r="BE47" t="s">
        <v>303</v>
      </c>
      <c r="BF47" s="1" t="s">
        <v>32</v>
      </c>
      <c r="BG47">
        <v>1</v>
      </c>
      <c r="BH47">
        <f>BG47/BG65*100</f>
        <v>0.12106537530266344</v>
      </c>
      <c r="BI47">
        <v>1</v>
      </c>
      <c r="BN47">
        <f t="shared" si="89"/>
        <v>1.2048192771084338E-3</v>
      </c>
      <c r="BO47">
        <f t="shared" si="90"/>
        <v>1.4515894904920891E-6</v>
      </c>
      <c r="BP47">
        <f t="shared" si="91"/>
        <v>-6.7214257007906433</v>
      </c>
      <c r="BQ47">
        <f t="shared" si="92"/>
        <v>-8.0981032539646312E-3</v>
      </c>
      <c r="BR47">
        <f t="shared" si="93"/>
        <v>-1.9699225813130474E-3</v>
      </c>
      <c r="BS47">
        <f t="shared" si="94"/>
        <v>8.9298827999525709</v>
      </c>
      <c r="BV47" s="15" t="s">
        <v>315</v>
      </c>
      <c r="BW47" s="15" t="s">
        <v>481</v>
      </c>
      <c r="BX47" s="15">
        <v>7</v>
      </c>
      <c r="BY47" s="15">
        <v>5</v>
      </c>
      <c r="BZ47" s="15">
        <v>6</v>
      </c>
      <c r="CA47" s="15">
        <f t="shared" si="32"/>
        <v>18</v>
      </c>
      <c r="CB47" s="15">
        <f>CA47/CA49*100</f>
        <v>0.19773700977699657</v>
      </c>
      <c r="CC47">
        <f t="shared" si="33"/>
        <v>1.9986675549633578E-3</v>
      </c>
      <c r="CD47">
        <f t="shared" si="34"/>
        <v>3.9946719952632072E-6</v>
      </c>
      <c r="CE47">
        <f t="shared" si="35"/>
        <v>-6.2152745429653526</v>
      </c>
      <c r="CF47">
        <f t="shared" si="36"/>
        <v>-1.2422267574214562E-2</v>
      </c>
      <c r="CG47">
        <f t="shared" si="37"/>
        <v>-3.263296288440869E-3</v>
      </c>
      <c r="CH47">
        <f t="shared" si="38"/>
        <v>4.8264299747314352</v>
      </c>
      <c r="CK47" t="s">
        <v>325</v>
      </c>
      <c r="CL47" t="s">
        <v>325</v>
      </c>
      <c r="CO47">
        <v>1</v>
      </c>
      <c r="CP47">
        <f t="shared" si="39"/>
        <v>1</v>
      </c>
      <c r="CQ47" s="36">
        <f t="shared" si="40"/>
        <v>8.9605734767025089E-2</v>
      </c>
      <c r="CR47">
        <f t="shared" si="41"/>
        <v>8.9206066012488853E-4</v>
      </c>
      <c r="CS47">
        <f t="shared" si="42"/>
        <v>7.9577222134245192E-7</v>
      </c>
      <c r="CT47">
        <f t="shared" si="43"/>
        <v>-7.02197642307216</v>
      </c>
      <c r="CU47">
        <f t="shared" si="44"/>
        <v>-6.2640289233471544E-3</v>
      </c>
      <c r="CV47">
        <f t="shared" si="45"/>
        <v>-1.6654335665923674E-3</v>
      </c>
      <c r="CW47">
        <f t="shared" si="46"/>
        <v>5.9850321673386508</v>
      </c>
      <c r="CZ47" t="s">
        <v>305</v>
      </c>
      <c r="DA47" t="s">
        <v>329</v>
      </c>
      <c r="DB47">
        <v>1</v>
      </c>
      <c r="DE47">
        <f t="shared" si="47"/>
        <v>1</v>
      </c>
      <c r="DF47" s="36">
        <f t="shared" si="48"/>
        <v>0.13477088948787064</v>
      </c>
      <c r="DG47">
        <f t="shared" si="49"/>
        <v>1.3440860215053765E-3</v>
      </c>
      <c r="DH47">
        <f t="shared" si="50"/>
        <v>1.8065672332061513E-6</v>
      </c>
      <c r="DI47">
        <f t="shared" si="51"/>
        <v>-6.6120410348330916</v>
      </c>
      <c r="DJ47">
        <f t="shared" si="52"/>
        <v>-8.8871519285391026E-3</v>
      </c>
      <c r="DK47">
        <f t="shared" si="53"/>
        <v>-2.1981299122380516E-3</v>
      </c>
      <c r="DL47">
        <f t="shared" si="54"/>
        <v>8.4693969237312228</v>
      </c>
      <c r="DY47" t="s">
        <v>568</v>
      </c>
      <c r="DZ47" s="1" t="s">
        <v>556</v>
      </c>
      <c r="EA47">
        <v>5</v>
      </c>
      <c r="EB47">
        <v>11</v>
      </c>
      <c r="EC47">
        <v>26</v>
      </c>
      <c r="ED47">
        <f t="shared" si="62"/>
        <v>42</v>
      </c>
      <c r="EE47">
        <f t="shared" si="63"/>
        <v>3.5205364626990781</v>
      </c>
      <c r="EF47">
        <f t="shared" si="64"/>
        <v>3.5205364626990782E-2</v>
      </c>
      <c r="EG47">
        <f t="shared" si="65"/>
        <v>1.2394176985193737E-3</v>
      </c>
      <c r="EH47">
        <f t="shared" si="66"/>
        <v>-3.3465568038145479</v>
      </c>
      <c r="EI47">
        <f t="shared" si="67"/>
        <v>-0.11781675252322801</v>
      </c>
      <c r="EJ47">
        <f t="shared" si="68"/>
        <v>-3.0434160404291977E-2</v>
      </c>
      <c r="EK47">
        <f t="shared" si="69"/>
        <v>6.6344576245322022</v>
      </c>
      <c r="EM47" t="s">
        <v>568</v>
      </c>
      <c r="EN47" s="1" t="s">
        <v>510</v>
      </c>
      <c r="EO47">
        <v>1</v>
      </c>
      <c r="ES47">
        <f t="shared" si="95"/>
        <v>1</v>
      </c>
      <c r="ET47">
        <f t="shared" si="71"/>
        <v>1.2521913348359628E-2</v>
      </c>
      <c r="EU47">
        <f t="shared" si="72"/>
        <v>1.2521913348359628E-4</v>
      </c>
      <c r="EV47">
        <f t="shared" si="73"/>
        <v>1.5679831390382703E-8</v>
      </c>
      <c r="EW47">
        <f t="shared" si="74"/>
        <v>-8.9854452876231665</v>
      </c>
      <c r="EX47">
        <f t="shared" si="75"/>
        <v>-1.1251496728804365E-3</v>
      </c>
      <c r="EY47">
        <f t="shared" si="76"/>
        <v>-2.8910627590556176E-4</v>
      </c>
      <c r="EZ47">
        <f t="shared" si="77"/>
        <v>5.3419723189586055</v>
      </c>
      <c r="FB47" t="s">
        <v>315</v>
      </c>
      <c r="FC47" t="s">
        <v>523</v>
      </c>
      <c r="FD47">
        <v>2</v>
      </c>
      <c r="FE47">
        <v>3</v>
      </c>
      <c r="FG47">
        <v>5</v>
      </c>
      <c r="FH47">
        <f t="shared" si="96"/>
        <v>10</v>
      </c>
      <c r="FI47">
        <f t="shared" si="79"/>
        <v>0.17702248185519562</v>
      </c>
      <c r="FJ47">
        <f t="shared" si="80"/>
        <v>1.7702248185519562E-3</v>
      </c>
      <c r="FK47">
        <f t="shared" si="81"/>
        <v>3.133695908217306E-6</v>
      </c>
      <c r="FL47">
        <f t="shared" si="82"/>
        <v>-6.3366487243312166</v>
      </c>
      <c r="FM47">
        <f t="shared" si="83"/>
        <v>-1.1217292838256713E-2</v>
      </c>
      <c r="FN47">
        <f t="shared" si="84"/>
        <v>-2.8673892823973951E-3</v>
      </c>
    </row>
    <row r="48" spans="6:170" x14ac:dyDescent="0.25">
      <c r="W48" t="s">
        <v>568</v>
      </c>
      <c r="X48" t="s">
        <v>548</v>
      </c>
      <c r="Y48">
        <v>23</v>
      </c>
      <c r="AC48" s="9">
        <f t="shared" si="88"/>
        <v>23</v>
      </c>
      <c r="AD48" s="9">
        <f t="shared" si="18"/>
        <v>2.1004566210045663</v>
      </c>
      <c r="AE48" s="9">
        <f t="shared" si="19"/>
        <v>2.1004566210045664E-2</v>
      </c>
      <c r="AF48" s="9">
        <f t="shared" si="20"/>
        <v>4.4119180167219207E-4</v>
      </c>
      <c r="AG48" s="9">
        <f t="shared" si="21"/>
        <v>-3.8630154263214513</v>
      </c>
      <c r="AH48" s="9">
        <f t="shared" si="22"/>
        <v>-8.1140963292596707E-2</v>
      </c>
      <c r="AI48" s="9">
        <f t="shared" si="23"/>
        <v>-2.0960152434339019E-2</v>
      </c>
      <c r="AJ48" s="9">
        <f t="shared" si="24"/>
        <v>6.7608659905015571</v>
      </c>
      <c r="AK48" s="9"/>
      <c r="AL48" s="9"/>
      <c r="AM48" t="s">
        <v>303</v>
      </c>
      <c r="AN48" s="1" t="s">
        <v>143</v>
      </c>
      <c r="AO48" s="2">
        <f t="shared" si="25"/>
        <v>0.20639834881320948</v>
      </c>
      <c r="AP48">
        <v>2</v>
      </c>
      <c r="AQ48">
        <v>2</v>
      </c>
      <c r="AW48">
        <f t="shared" si="26"/>
        <v>2.0491803278688526E-3</v>
      </c>
      <c r="AX48">
        <f t="shared" si="27"/>
        <v>4.1991400161246981E-6</v>
      </c>
      <c r="AY48">
        <f t="shared" si="28"/>
        <v>-6.1903154058531475</v>
      </c>
      <c r="AZ48">
        <f t="shared" si="29"/>
        <v>-1.2685072552977761E-2</v>
      </c>
      <c r="BA48">
        <f t="shared" si="30"/>
        <v>-3.0857362624354579E-3</v>
      </c>
      <c r="BB48">
        <f t="shared" si="31"/>
        <v>8.7217468765167201</v>
      </c>
      <c r="BE48" t="s">
        <v>305</v>
      </c>
      <c r="BF48" s="1" t="s">
        <v>371</v>
      </c>
      <c r="BG48">
        <v>1</v>
      </c>
      <c r="BH48">
        <f>BG48/BG65*100</f>
        <v>0.12106537530266344</v>
      </c>
      <c r="BI48">
        <v>1</v>
      </c>
      <c r="BN48">
        <f t="shared" si="89"/>
        <v>1.2048192771084338E-3</v>
      </c>
      <c r="BO48">
        <f t="shared" si="90"/>
        <v>1.4515894904920891E-6</v>
      </c>
      <c r="BP48">
        <f t="shared" si="91"/>
        <v>-6.7214257007906433</v>
      </c>
      <c r="BQ48">
        <f t="shared" si="92"/>
        <v>-8.0981032539646312E-3</v>
      </c>
      <c r="BR48">
        <f t="shared" si="93"/>
        <v>-1.9699225813130474E-3</v>
      </c>
      <c r="BS48">
        <f t="shared" si="94"/>
        <v>8.9298827999525709</v>
      </c>
      <c r="BV48" t="s">
        <v>303</v>
      </c>
      <c r="BW48" t="s">
        <v>234</v>
      </c>
      <c r="BY48">
        <v>1</v>
      </c>
      <c r="CA48">
        <f t="shared" si="32"/>
        <v>1</v>
      </c>
      <c r="CB48">
        <f>CA48/CA49*100</f>
        <v>1.0985389432055367E-2</v>
      </c>
      <c r="CC48">
        <f t="shared" si="33"/>
        <v>1.1103708638685321E-4</v>
      </c>
      <c r="CD48">
        <f t="shared" si="34"/>
        <v>1.2329234553281503E-8</v>
      </c>
      <c r="CE48">
        <f t="shared" si="35"/>
        <v>-9.1056463008615172</v>
      </c>
      <c r="CF48">
        <f t="shared" si="36"/>
        <v>-1.0110644349168906E-3</v>
      </c>
      <c r="CG48">
        <f t="shared" si="37"/>
        <v>-2.6560390831441814E-4</v>
      </c>
      <c r="CH48">
        <f t="shared" si="38"/>
        <v>4.8264299747314352</v>
      </c>
      <c r="CP48" s="3">
        <f>SUM(CP5:CP47)</f>
        <v>1116</v>
      </c>
      <c r="CQ48" s="36">
        <f t="shared" si="40"/>
        <v>100</v>
      </c>
      <c r="CR48" s="3"/>
      <c r="CS48" s="3"/>
      <c r="CT48" s="3"/>
      <c r="CU48" s="3">
        <f>SUM(CU5:CU47)</f>
        <v>-2.8570143422841068</v>
      </c>
      <c r="CV48" s="3">
        <f>SUM(CV5:CV47)</f>
        <v>-0.75960179049321219</v>
      </c>
      <c r="CW48" s="3">
        <f>AVERAGE(CW5:CW47)</f>
        <v>5.9850321673386535</v>
      </c>
      <c r="CZ48" t="s">
        <v>303</v>
      </c>
      <c r="DA48" s="1" t="s">
        <v>494</v>
      </c>
      <c r="DC48">
        <v>6</v>
      </c>
      <c r="DE48">
        <f t="shared" si="47"/>
        <v>6</v>
      </c>
      <c r="DF48" s="36">
        <f t="shared" si="48"/>
        <v>0.80862533692722371</v>
      </c>
      <c r="DG48">
        <f t="shared" si="49"/>
        <v>8.0645161290322578E-3</v>
      </c>
      <c r="DH48">
        <f t="shared" si="50"/>
        <v>6.5036420395421429E-5</v>
      </c>
      <c r="DI48">
        <f t="shared" si="51"/>
        <v>-4.8202815656050371</v>
      </c>
      <c r="DJ48">
        <f t="shared" si="52"/>
        <v>-3.8873238432298687E-2</v>
      </c>
      <c r="DK48">
        <f t="shared" si="53"/>
        <v>-9.6148269851445908E-3</v>
      </c>
      <c r="DL48">
        <f t="shared" si="54"/>
        <v>8.4693969237312228</v>
      </c>
      <c r="DY48" t="s">
        <v>305</v>
      </c>
      <c r="DZ48" t="s">
        <v>499</v>
      </c>
      <c r="EA48">
        <v>10</v>
      </c>
      <c r="EB48">
        <v>5</v>
      </c>
      <c r="EC48">
        <v>4</v>
      </c>
      <c r="ED48">
        <f t="shared" si="62"/>
        <v>19</v>
      </c>
      <c r="EE48">
        <f t="shared" si="63"/>
        <v>1.5926236378876781</v>
      </c>
      <c r="EF48">
        <f t="shared" si="64"/>
        <v>1.5926236378876781E-2</v>
      </c>
      <c r="EG48">
        <f t="shared" si="65"/>
        <v>2.5364500519585816E-4</v>
      </c>
      <c r="EH48">
        <f t="shared" si="66"/>
        <v>-4.1397874429314756</v>
      </c>
      <c r="EI48">
        <f t="shared" si="67"/>
        <v>-6.5931233374432546E-2</v>
      </c>
      <c r="EJ48">
        <f t="shared" si="68"/>
        <v>-1.7031208968136237E-2</v>
      </c>
      <c r="EK48">
        <f t="shared" si="69"/>
        <v>6.6344576245322022</v>
      </c>
      <c r="EM48" t="s">
        <v>303</v>
      </c>
      <c r="EN48" t="s">
        <v>511</v>
      </c>
      <c r="EO48">
        <v>1</v>
      </c>
      <c r="EP48">
        <v>3</v>
      </c>
      <c r="ES48">
        <f t="shared" si="95"/>
        <v>4</v>
      </c>
      <c r="ET48">
        <f t="shared" si="71"/>
        <v>5.0087653393438514E-2</v>
      </c>
      <c r="EU48">
        <f t="shared" si="72"/>
        <v>5.0087653393438513E-4</v>
      </c>
      <c r="EV48">
        <f t="shared" si="73"/>
        <v>2.5087730224612325E-7</v>
      </c>
      <c r="EW48">
        <f t="shared" si="74"/>
        <v>-7.5991509265032757</v>
      </c>
      <c r="EX48">
        <f t="shared" si="75"/>
        <v>-3.806236376911232E-3</v>
      </c>
      <c r="EY48">
        <f t="shared" si="76"/>
        <v>-9.7800928238106401E-4</v>
      </c>
      <c r="EZ48">
        <f t="shared" si="77"/>
        <v>5.3419723189586055</v>
      </c>
      <c r="FB48" t="s">
        <v>315</v>
      </c>
      <c r="FC48" s="1" t="s">
        <v>179</v>
      </c>
      <c r="FD48">
        <v>875</v>
      </c>
      <c r="FE48">
        <v>180</v>
      </c>
      <c r="FF48">
        <v>1124</v>
      </c>
      <c r="FG48">
        <v>54</v>
      </c>
      <c r="FH48">
        <f t="shared" si="96"/>
        <v>2233</v>
      </c>
      <c r="FI48" s="15">
        <f t="shared" si="79"/>
        <v>39.529120198265176</v>
      </c>
      <c r="FJ48">
        <f t="shared" si="80"/>
        <v>0.39529120198265177</v>
      </c>
      <c r="FK48">
        <f t="shared" si="81"/>
        <v>0.15625513436488961</v>
      </c>
      <c r="FL48">
        <f t="shared" si="82"/>
        <v>-0.92813256548510426</v>
      </c>
      <c r="FM48">
        <f t="shared" si="83"/>
        <v>-0.36688263740984911</v>
      </c>
      <c r="FN48">
        <f t="shared" si="84"/>
        <v>-9.3783353753487481E-2</v>
      </c>
    </row>
    <row r="49" spans="3:170" x14ac:dyDescent="0.25">
      <c r="W49" t="s">
        <v>303</v>
      </c>
      <c r="X49" s="1" t="s">
        <v>217</v>
      </c>
      <c r="Y49">
        <v>3</v>
      </c>
      <c r="AC49" s="9">
        <f t="shared" si="88"/>
        <v>3</v>
      </c>
      <c r="AD49" s="9">
        <f t="shared" si="18"/>
        <v>0.27397260273972601</v>
      </c>
      <c r="AE49" s="9">
        <f t="shared" si="19"/>
        <v>2.7397260273972603E-3</v>
      </c>
      <c r="AF49" s="9">
        <f t="shared" si="20"/>
        <v>7.5060987051979735E-6</v>
      </c>
      <c r="AG49" s="9">
        <f t="shared" si="21"/>
        <v>-5.8998973535824915</v>
      </c>
      <c r="AH49" s="9">
        <f t="shared" si="22"/>
        <v>-1.6164102338582169E-2</v>
      </c>
      <c r="AI49" s="9">
        <f t="shared" si="23"/>
        <v>-4.1754748185476665E-3</v>
      </c>
      <c r="AJ49" s="9">
        <f t="shared" si="24"/>
        <v>6.7608659905015571</v>
      </c>
      <c r="AK49" s="9"/>
      <c r="AL49" s="9"/>
      <c r="AM49" t="s">
        <v>305</v>
      </c>
      <c r="AN49" s="1" t="s">
        <v>450</v>
      </c>
      <c r="AO49" s="2">
        <f t="shared" si="25"/>
        <v>1.1351909184726523</v>
      </c>
      <c r="AP49">
        <v>11</v>
      </c>
      <c r="AQ49">
        <v>2</v>
      </c>
      <c r="AR49">
        <v>7</v>
      </c>
      <c r="AS49">
        <v>1</v>
      </c>
      <c r="AT49">
        <v>1</v>
      </c>
      <c r="AW49">
        <f t="shared" si="26"/>
        <v>1.1270491803278689E-2</v>
      </c>
      <c r="AX49">
        <f t="shared" si="27"/>
        <v>1.2702398548777212E-4</v>
      </c>
      <c r="AY49">
        <f t="shared" si="28"/>
        <v>-4.4855673136147223</v>
      </c>
      <c r="AZ49">
        <f t="shared" si="29"/>
        <v>-5.0554549641149533E-2</v>
      </c>
      <c r="BA49">
        <f t="shared" si="30"/>
        <v>-1.2297762303469741E-2</v>
      </c>
      <c r="BB49">
        <f t="shared" si="31"/>
        <v>8.7217468765167201</v>
      </c>
      <c r="BE49" t="s">
        <v>305</v>
      </c>
      <c r="BF49" s="2" t="s">
        <v>542</v>
      </c>
      <c r="BG49">
        <v>1</v>
      </c>
      <c r="BH49">
        <f>BG49/BG65*100</f>
        <v>0.12106537530266344</v>
      </c>
      <c r="BI49">
        <v>1</v>
      </c>
      <c r="BN49">
        <f t="shared" si="89"/>
        <v>1.2048192771084338E-3</v>
      </c>
      <c r="BO49">
        <f t="shared" si="90"/>
        <v>1.4515894904920891E-6</v>
      </c>
      <c r="BP49">
        <f t="shared" si="91"/>
        <v>-6.7214257007906433</v>
      </c>
      <c r="BQ49">
        <f t="shared" si="92"/>
        <v>-8.0981032539646312E-3</v>
      </c>
      <c r="BR49">
        <f t="shared" si="93"/>
        <v>-1.9699225813130474E-3</v>
      </c>
      <c r="BS49">
        <f t="shared" si="94"/>
        <v>8.9298827999525709</v>
      </c>
      <c r="CA49" s="3">
        <f>SUM(CA5:CA48)</f>
        <v>9103</v>
      </c>
      <c r="CF49" s="3">
        <f>SUM(CF5:CF48)</f>
        <v>-1.808075434425704</v>
      </c>
      <c r="CG49" s="3">
        <f>SUM(CG5:CG48)</f>
        <v>-0.47497655473385464</v>
      </c>
      <c r="CH49" s="3">
        <f>AVERAGE(CH5:CH48)</f>
        <v>4.8264299747314379</v>
      </c>
      <c r="CU49">
        <f>STDEV(CU5:CU47)</f>
        <v>7.7377717482169525E-2</v>
      </c>
      <c r="CV49">
        <f t="shared" si="45"/>
        <v>2.0572613820602614E-2</v>
      </c>
      <c r="CW49">
        <f>STDEV(CW5:CW47)</f>
        <v>2.6960693183849084E-15</v>
      </c>
      <c r="CZ49" t="s">
        <v>303</v>
      </c>
      <c r="DA49" s="1" t="s">
        <v>331</v>
      </c>
      <c r="DC49">
        <v>3</v>
      </c>
      <c r="DE49">
        <f t="shared" si="47"/>
        <v>3</v>
      </c>
      <c r="DF49" s="36">
        <f t="shared" si="48"/>
        <v>0.40431266846361186</v>
      </c>
      <c r="DG49">
        <f t="shared" si="49"/>
        <v>4.0322580645161289E-3</v>
      </c>
      <c r="DH49">
        <f t="shared" si="50"/>
        <v>1.6259105098855357E-5</v>
      </c>
      <c r="DI49">
        <f t="shared" si="51"/>
        <v>-5.5134287461649825</v>
      </c>
      <c r="DJ49">
        <f t="shared" si="52"/>
        <v>-2.2231567524858799E-2</v>
      </c>
      <c r="DK49">
        <f t="shared" si="53"/>
        <v>-5.4987102690800113E-3</v>
      </c>
      <c r="DL49">
        <f t="shared" si="54"/>
        <v>8.4693969237312228</v>
      </c>
      <c r="DY49" t="s">
        <v>303</v>
      </c>
      <c r="DZ49" t="s">
        <v>101</v>
      </c>
      <c r="EA49">
        <v>1</v>
      </c>
      <c r="ED49">
        <f t="shared" si="62"/>
        <v>1</v>
      </c>
      <c r="EE49">
        <f t="shared" si="63"/>
        <v>8.3822296730930432E-2</v>
      </c>
      <c r="EF49">
        <f t="shared" si="64"/>
        <v>8.3822296730930428E-4</v>
      </c>
      <c r="EG49">
        <f t="shared" si="65"/>
        <v>7.0261774292481497E-7</v>
      </c>
      <c r="EH49">
        <f t="shared" si="66"/>
        <v>-7.0842264220979159</v>
      </c>
      <c r="EI49">
        <f t="shared" si="67"/>
        <v>-5.9381612926218911E-3</v>
      </c>
      <c r="EJ49">
        <f t="shared" si="68"/>
        <v>-1.5339325640518077E-3</v>
      </c>
      <c r="EK49">
        <f t="shared" si="69"/>
        <v>6.6344576245322022</v>
      </c>
      <c r="EM49" t="s">
        <v>303</v>
      </c>
      <c r="EN49" t="s">
        <v>512</v>
      </c>
      <c r="EO49">
        <v>1</v>
      </c>
      <c r="ES49">
        <f t="shared" si="95"/>
        <v>1</v>
      </c>
      <c r="ET49">
        <f t="shared" si="71"/>
        <v>1.2521913348359628E-2</v>
      </c>
      <c r="EU49">
        <f t="shared" si="72"/>
        <v>1.2521913348359628E-4</v>
      </c>
      <c r="EV49">
        <f t="shared" si="73"/>
        <v>1.5679831390382703E-8</v>
      </c>
      <c r="EW49">
        <f t="shared" si="74"/>
        <v>-8.9854452876231665</v>
      </c>
      <c r="EX49">
        <f t="shared" si="75"/>
        <v>-1.1251496728804365E-3</v>
      </c>
      <c r="EY49">
        <f t="shared" si="76"/>
        <v>-2.8910627590556176E-4</v>
      </c>
      <c r="EZ49">
        <f t="shared" si="77"/>
        <v>5.3419723189586055</v>
      </c>
      <c r="FB49" t="s">
        <v>315</v>
      </c>
      <c r="FC49" s="1" t="s">
        <v>403</v>
      </c>
      <c r="FE49">
        <v>2</v>
      </c>
      <c r="FF49">
        <v>1</v>
      </c>
      <c r="FG49">
        <v>2</v>
      </c>
      <c r="FH49">
        <f t="shared" si="96"/>
        <v>5</v>
      </c>
      <c r="FI49" s="15">
        <f t="shared" si="79"/>
        <v>8.8511240927597809E-2</v>
      </c>
      <c r="FJ49">
        <f t="shared" si="80"/>
        <v>8.8511240927597809E-4</v>
      </c>
      <c r="FK49">
        <f t="shared" si="81"/>
        <v>7.8342397705432651E-7</v>
      </c>
      <c r="FL49">
        <f t="shared" si="82"/>
        <v>-7.029795904891162</v>
      </c>
      <c r="FM49">
        <f t="shared" si="83"/>
        <v>-6.2221595900966205E-3</v>
      </c>
      <c r="FN49">
        <f t="shared" si="84"/>
        <v>-1.5905222391236027E-3</v>
      </c>
    </row>
    <row r="50" spans="3:170" x14ac:dyDescent="0.25">
      <c r="W50" t="s">
        <v>568</v>
      </c>
      <c r="X50" s="1" t="s">
        <v>218</v>
      </c>
      <c r="Y50">
        <v>1</v>
      </c>
      <c r="AC50" s="9">
        <f t="shared" si="88"/>
        <v>1</v>
      </c>
      <c r="AD50" s="9">
        <f t="shared" si="18"/>
        <v>9.1324200913242004E-2</v>
      </c>
      <c r="AE50" s="9">
        <f t="shared" si="19"/>
        <v>9.1324200913242006E-4</v>
      </c>
      <c r="AF50" s="9">
        <f t="shared" si="20"/>
        <v>8.3401096724421924E-7</v>
      </c>
      <c r="AG50" s="9">
        <f t="shared" si="21"/>
        <v>-6.9985096422506015</v>
      </c>
      <c r="AH50" s="9">
        <f t="shared" si="22"/>
        <v>-6.3913330066215539E-3</v>
      </c>
      <c r="AI50" s="9">
        <f t="shared" si="23"/>
        <v>-1.65099486919245E-3</v>
      </c>
      <c r="AJ50" s="9">
        <f t="shared" si="24"/>
        <v>6.7608659905015571</v>
      </c>
      <c r="AK50" s="9"/>
      <c r="AL50" s="9"/>
      <c r="AM50" t="s">
        <v>303</v>
      </c>
      <c r="AN50" s="1" t="s">
        <v>451</v>
      </c>
      <c r="AO50" s="2">
        <f t="shared" si="25"/>
        <v>0.20639834881320948</v>
      </c>
      <c r="AP50">
        <v>2</v>
      </c>
      <c r="AQ50">
        <v>1</v>
      </c>
      <c r="AR50">
        <v>1</v>
      </c>
      <c r="AW50">
        <f t="shared" si="26"/>
        <v>2.0491803278688526E-3</v>
      </c>
      <c r="AX50">
        <f t="shared" si="27"/>
        <v>4.1991400161246981E-6</v>
      </c>
      <c r="AY50">
        <f t="shared" si="28"/>
        <v>-6.1903154058531475</v>
      </c>
      <c r="AZ50">
        <f t="shared" si="29"/>
        <v>-1.2685072552977761E-2</v>
      </c>
      <c r="BA50">
        <f t="shared" si="30"/>
        <v>-3.0857362624354579E-3</v>
      </c>
      <c r="BB50">
        <f t="shared" si="31"/>
        <v>8.7217468765167201</v>
      </c>
      <c r="BE50" t="s">
        <v>315</v>
      </c>
      <c r="BF50" s="18" t="s">
        <v>468</v>
      </c>
      <c r="BG50" s="15">
        <v>1</v>
      </c>
      <c r="BH50" s="15">
        <f>BG50/BG65*100</f>
        <v>0.12106537530266344</v>
      </c>
      <c r="BI50">
        <v>1</v>
      </c>
      <c r="BN50">
        <f t="shared" si="89"/>
        <v>1.2048192771084338E-3</v>
      </c>
      <c r="BO50">
        <f t="shared" si="90"/>
        <v>1.4515894904920891E-6</v>
      </c>
      <c r="BP50">
        <f t="shared" si="91"/>
        <v>-6.7214257007906433</v>
      </c>
      <c r="BQ50">
        <f t="shared" si="92"/>
        <v>-8.0981032539646312E-3</v>
      </c>
      <c r="BR50">
        <f t="shared" si="93"/>
        <v>-1.9699225813130474E-3</v>
      </c>
      <c r="BS50">
        <f t="shared" si="94"/>
        <v>8.9298827999525709</v>
      </c>
      <c r="CF50">
        <f>STDEV(CF5:CF48)</f>
        <v>8.6714381759854645E-2</v>
      </c>
      <c r="CG50">
        <f>STDEV(CG5:CG48)</f>
        <v>2.2779634914543389E-2</v>
      </c>
      <c r="CH50">
        <f>STDEV(CH5:CH48)</f>
        <v>2.6953401583125107E-15</v>
      </c>
      <c r="CZ50" t="s">
        <v>303</v>
      </c>
      <c r="DA50" s="1" t="s">
        <v>495</v>
      </c>
      <c r="DC50">
        <v>4</v>
      </c>
      <c r="DE50">
        <f t="shared" si="47"/>
        <v>4</v>
      </c>
      <c r="DF50" s="36">
        <f t="shared" si="48"/>
        <v>0.53908355795148255</v>
      </c>
      <c r="DG50">
        <f t="shared" si="49"/>
        <v>5.3763440860215058E-3</v>
      </c>
      <c r="DH50">
        <f t="shared" si="50"/>
        <v>2.8905075731298421E-5</v>
      </c>
      <c r="DI50">
        <f t="shared" si="51"/>
        <v>-5.2257466737132008</v>
      </c>
      <c r="DJ50">
        <f t="shared" si="52"/>
        <v>-2.8095412224264524E-2</v>
      </c>
      <c r="DK50">
        <f t="shared" si="53"/>
        <v>-6.949061578264964E-3</v>
      </c>
      <c r="DL50">
        <f t="shared" si="54"/>
        <v>8.4693969237312228</v>
      </c>
      <c r="DY50" t="s">
        <v>568</v>
      </c>
      <c r="DZ50" t="s">
        <v>498</v>
      </c>
      <c r="EA50">
        <v>2</v>
      </c>
      <c r="ED50">
        <f t="shared" si="62"/>
        <v>2</v>
      </c>
      <c r="EE50">
        <f t="shared" si="63"/>
        <v>0.16764459346186086</v>
      </c>
      <c r="EF50">
        <f t="shared" si="64"/>
        <v>1.6764459346186086E-3</v>
      </c>
      <c r="EG50">
        <f t="shared" si="65"/>
        <v>2.8104709716992599E-6</v>
      </c>
      <c r="EH50">
        <f t="shared" si="66"/>
        <v>-6.3910792415379705</v>
      </c>
      <c r="EI50">
        <f t="shared" si="67"/>
        <v>-1.0714298812301711E-2</v>
      </c>
      <c r="EJ50">
        <f t="shared" si="68"/>
        <v>-2.7676937421001928E-3</v>
      </c>
      <c r="EK50">
        <f t="shared" si="69"/>
        <v>6.6344576245322022</v>
      </c>
      <c r="EM50" t="s">
        <v>315</v>
      </c>
      <c r="EN50" s="1" t="s">
        <v>464</v>
      </c>
      <c r="EO50">
        <v>1</v>
      </c>
      <c r="ES50">
        <f t="shared" si="95"/>
        <v>1</v>
      </c>
      <c r="ET50">
        <f t="shared" si="71"/>
        <v>1.2521913348359628E-2</v>
      </c>
      <c r="EU50">
        <f t="shared" si="72"/>
        <v>1.2521913348359628E-4</v>
      </c>
      <c r="EV50">
        <f t="shared" si="73"/>
        <v>1.5679831390382703E-8</v>
      </c>
      <c r="EW50">
        <f t="shared" si="74"/>
        <v>-8.9854452876231665</v>
      </c>
      <c r="EX50">
        <f t="shared" si="75"/>
        <v>-1.1251496728804365E-3</v>
      </c>
      <c r="EY50">
        <f t="shared" si="76"/>
        <v>-2.8910627590556176E-4</v>
      </c>
      <c r="EZ50">
        <f t="shared" si="77"/>
        <v>5.3419723189586055</v>
      </c>
      <c r="FB50" t="s">
        <v>305</v>
      </c>
      <c r="FC50" s="1" t="s">
        <v>522</v>
      </c>
      <c r="FE50">
        <v>2</v>
      </c>
      <c r="FH50">
        <f t="shared" si="96"/>
        <v>2</v>
      </c>
      <c r="FI50">
        <f t="shared" si="79"/>
        <v>3.5404496371039117E-2</v>
      </c>
      <c r="FJ50">
        <f t="shared" si="80"/>
        <v>3.5404496371039119E-4</v>
      </c>
      <c r="FK50">
        <f t="shared" si="81"/>
        <v>1.2534783632869223E-7</v>
      </c>
      <c r="FL50">
        <f t="shared" si="82"/>
        <v>-7.9460866367653171</v>
      </c>
      <c r="FM50">
        <f t="shared" si="83"/>
        <v>-2.8132719549532012E-3</v>
      </c>
      <c r="FN50">
        <f t="shared" si="84"/>
        <v>-7.1913481874969355E-4</v>
      </c>
    </row>
    <row r="51" spans="3:170" x14ac:dyDescent="0.25">
      <c r="C51" s="3" t="s">
        <v>337</v>
      </c>
      <c r="D51" s="3" t="s">
        <v>338</v>
      </c>
      <c r="E51" s="3" t="s">
        <v>339</v>
      </c>
      <c r="F51" s="3" t="s">
        <v>340</v>
      </c>
      <c r="G51" s="3" t="s">
        <v>339</v>
      </c>
      <c r="W51" t="s">
        <v>305</v>
      </c>
      <c r="X51" s="1" t="s">
        <v>422</v>
      </c>
      <c r="AB51">
        <v>2</v>
      </c>
      <c r="AC51" s="9">
        <v>2</v>
      </c>
      <c r="AD51" s="9">
        <f t="shared" si="18"/>
        <v>0.18264840182648401</v>
      </c>
      <c r="AE51" s="9">
        <f t="shared" si="19"/>
        <v>1.8264840182648401E-3</v>
      </c>
      <c r="AF51" s="9">
        <f t="shared" si="20"/>
        <v>3.336043868976877E-6</v>
      </c>
      <c r="AG51" s="9">
        <f t="shared" si="21"/>
        <v>-6.3053624616906561</v>
      </c>
      <c r="AH51" s="9">
        <f t="shared" si="22"/>
        <v>-1.1516643765645034E-2</v>
      </c>
      <c r="AI51" s="9">
        <f t="shared" si="23"/>
        <v>-2.9749536986569702E-3</v>
      </c>
      <c r="AJ51" s="9">
        <f t="shared" si="24"/>
        <v>6.7608659905015571</v>
      </c>
      <c r="AK51" s="9"/>
      <c r="AL51" s="9"/>
      <c r="AM51" t="s">
        <v>305</v>
      </c>
      <c r="AN51" s="1" t="s">
        <v>422</v>
      </c>
      <c r="AO51" s="2">
        <f t="shared" si="25"/>
        <v>0.41279669762641896</v>
      </c>
      <c r="AP51">
        <v>4</v>
      </c>
      <c r="AQ51">
        <v>1</v>
      </c>
      <c r="AR51">
        <v>3</v>
      </c>
      <c r="AW51">
        <f t="shared" si="26"/>
        <v>4.0983606557377051E-3</v>
      </c>
      <c r="AX51">
        <f t="shared" si="27"/>
        <v>1.6796560064498793E-5</v>
      </c>
      <c r="AY51">
        <f t="shared" si="28"/>
        <v>-5.4971682252932021</v>
      </c>
      <c r="AZ51">
        <f t="shared" si="29"/>
        <v>-2.2529377972513125E-2</v>
      </c>
      <c r="BA51">
        <f t="shared" si="30"/>
        <v>-5.4804352351598461E-3</v>
      </c>
      <c r="BB51">
        <f t="shared" si="31"/>
        <v>8.7217468765167201</v>
      </c>
      <c r="BE51" t="s">
        <v>303</v>
      </c>
      <c r="BF51" s="1" t="s">
        <v>274</v>
      </c>
      <c r="BG51">
        <v>45</v>
      </c>
      <c r="BH51">
        <f>BG51/BG65*100</f>
        <v>5.4479418886198543</v>
      </c>
      <c r="BI51">
        <v>3</v>
      </c>
      <c r="BJ51">
        <v>7</v>
      </c>
      <c r="BK51">
        <v>2</v>
      </c>
      <c r="BN51">
        <f t="shared" si="89"/>
        <v>5.4216867469879519E-2</v>
      </c>
      <c r="BO51">
        <f t="shared" si="90"/>
        <v>2.9394687182464799E-3</v>
      </c>
      <c r="BP51">
        <f t="shared" si="91"/>
        <v>-2.9147632110203237</v>
      </c>
      <c r="BQ51">
        <f t="shared" si="92"/>
        <v>-0.15802933071796935</v>
      </c>
      <c r="BR51">
        <f t="shared" si="93"/>
        <v>-3.8441785357417851E-2</v>
      </c>
      <c r="BS51">
        <f t="shared" si="94"/>
        <v>8.9298827999525709</v>
      </c>
      <c r="CZ51" t="s">
        <v>315</v>
      </c>
      <c r="DA51" s="1" t="s">
        <v>130</v>
      </c>
      <c r="DC51">
        <v>2</v>
      </c>
      <c r="DE51">
        <f t="shared" si="47"/>
        <v>2</v>
      </c>
      <c r="DF51" s="36">
        <f t="shared" si="48"/>
        <v>0.26954177897574128</v>
      </c>
      <c r="DG51">
        <f t="shared" si="49"/>
        <v>2.6881720430107529E-3</v>
      </c>
      <c r="DH51">
        <f t="shared" si="50"/>
        <v>7.2262689328246053E-6</v>
      </c>
      <c r="DI51">
        <f t="shared" si="51"/>
        <v>-5.9188938542731462</v>
      </c>
      <c r="DJ51">
        <f t="shared" si="52"/>
        <v>-1.5911004984605234E-2</v>
      </c>
      <c r="DK51">
        <f t="shared" si="53"/>
        <v>-3.9353953068042924E-3</v>
      </c>
      <c r="DL51">
        <f t="shared" si="54"/>
        <v>8.4693969237312228</v>
      </c>
      <c r="DY51" t="s">
        <v>303</v>
      </c>
      <c r="DZ51" t="s">
        <v>263</v>
      </c>
      <c r="EB51">
        <v>1</v>
      </c>
      <c r="ED51">
        <f t="shared" si="62"/>
        <v>1</v>
      </c>
      <c r="EE51">
        <f t="shared" si="63"/>
        <v>8.3822296730930432E-2</v>
      </c>
      <c r="EF51">
        <f t="shared" si="64"/>
        <v>8.3822296730930428E-4</v>
      </c>
      <c r="EG51">
        <f t="shared" si="65"/>
        <v>7.0261774292481497E-7</v>
      </c>
      <c r="EH51">
        <f t="shared" si="66"/>
        <v>-7.0842264220979159</v>
      </c>
      <c r="EI51">
        <f t="shared" si="67"/>
        <v>-5.9381612926218911E-3</v>
      </c>
      <c r="EJ51">
        <f t="shared" si="68"/>
        <v>-1.5339325640518077E-3</v>
      </c>
      <c r="EK51">
        <f t="shared" si="69"/>
        <v>6.6344576245322022</v>
      </c>
      <c r="EM51" t="s">
        <v>315</v>
      </c>
      <c r="EN51" t="s">
        <v>513</v>
      </c>
      <c r="EO51">
        <v>1</v>
      </c>
      <c r="ES51">
        <f t="shared" si="95"/>
        <v>1</v>
      </c>
      <c r="ET51" s="15">
        <f t="shared" si="71"/>
        <v>1.2521913348359628E-2</v>
      </c>
      <c r="EU51">
        <f t="shared" si="72"/>
        <v>1.2521913348359628E-4</v>
      </c>
      <c r="EV51">
        <f t="shared" si="73"/>
        <v>1.5679831390382703E-8</v>
      </c>
      <c r="EW51">
        <f t="shared" si="74"/>
        <v>-8.9854452876231665</v>
      </c>
      <c r="EX51">
        <f t="shared" si="75"/>
        <v>-1.1251496728804365E-3</v>
      </c>
      <c r="EY51">
        <f t="shared" si="76"/>
        <v>-2.8910627590556176E-4</v>
      </c>
      <c r="EZ51">
        <f t="shared" si="77"/>
        <v>5.3419723189586055</v>
      </c>
      <c r="FB51" t="s">
        <v>315</v>
      </c>
      <c r="FC51" s="1" t="s">
        <v>521</v>
      </c>
      <c r="FF51">
        <v>1</v>
      </c>
      <c r="FH51">
        <f t="shared" si="96"/>
        <v>1</v>
      </c>
      <c r="FI51">
        <f t="shared" si="79"/>
        <v>1.7702248185519558E-2</v>
      </c>
      <c r="FJ51">
        <f t="shared" si="80"/>
        <v>1.770224818551956E-4</v>
      </c>
      <c r="FK51">
        <f t="shared" si="81"/>
        <v>3.1336959082173057E-8</v>
      </c>
      <c r="FL51">
        <f t="shared" si="82"/>
        <v>-8.6392338173252625</v>
      </c>
      <c r="FM51">
        <f t="shared" si="83"/>
        <v>-1.5293386116702534E-3</v>
      </c>
      <c r="FN51">
        <f t="shared" si="84"/>
        <v>-3.9093292895982777E-4</v>
      </c>
    </row>
    <row r="52" spans="3:170" x14ac:dyDescent="0.25">
      <c r="C52" s="17" t="s">
        <v>113</v>
      </c>
      <c r="D52">
        <v>2.68</v>
      </c>
      <c r="E52">
        <v>0.09</v>
      </c>
      <c r="F52">
        <v>1.53</v>
      </c>
      <c r="G52">
        <v>0.06</v>
      </c>
      <c r="I52" t="s">
        <v>338</v>
      </c>
      <c r="J52">
        <v>2.61</v>
      </c>
      <c r="W52" t="s">
        <v>303</v>
      </c>
      <c r="X52" t="s">
        <v>219</v>
      </c>
      <c r="Y52">
        <v>1</v>
      </c>
      <c r="AC52">
        <v>1</v>
      </c>
      <c r="AD52" s="9">
        <f t="shared" si="18"/>
        <v>9.1324200913242004E-2</v>
      </c>
      <c r="AE52" s="9">
        <f t="shared" si="19"/>
        <v>9.1324200913242006E-4</v>
      </c>
      <c r="AF52" s="9">
        <f t="shared" si="20"/>
        <v>8.3401096724421924E-7</v>
      </c>
      <c r="AG52" s="9">
        <f t="shared" si="21"/>
        <v>-6.9985096422506015</v>
      </c>
      <c r="AH52" s="9">
        <f t="shared" si="22"/>
        <v>-6.3913330066215539E-3</v>
      </c>
      <c r="AI52" s="9">
        <f t="shared" si="23"/>
        <v>-1.65099486919245E-3</v>
      </c>
      <c r="AJ52" s="9">
        <f t="shared" si="24"/>
        <v>6.7608659905015571</v>
      </c>
      <c r="AK52" s="9"/>
      <c r="AL52" s="9"/>
      <c r="AM52" t="s">
        <v>303</v>
      </c>
      <c r="AN52" s="1" t="s">
        <v>452</v>
      </c>
      <c r="AO52" s="2">
        <f t="shared" si="25"/>
        <v>1.5479876160990713</v>
      </c>
      <c r="AP52">
        <v>15</v>
      </c>
      <c r="AQ52">
        <v>15</v>
      </c>
      <c r="AW52">
        <f t="shared" si="26"/>
        <v>1.5368852459016393E-2</v>
      </c>
      <c r="AX52">
        <f t="shared" si="27"/>
        <v>2.3620162590701424E-4</v>
      </c>
      <c r="AY52">
        <f t="shared" si="28"/>
        <v>-4.1754123853108824</v>
      </c>
      <c r="AZ52">
        <f t="shared" si="29"/>
        <v>-6.4171296905392652E-2</v>
      </c>
      <c r="BA52">
        <f t="shared" si="30"/>
        <v>-1.5610135223231271E-2</v>
      </c>
      <c r="BB52">
        <f t="shared" si="31"/>
        <v>8.7217468765167201</v>
      </c>
      <c r="BE52" t="s">
        <v>303</v>
      </c>
      <c r="BF52" s="1" t="s">
        <v>375</v>
      </c>
      <c r="BG52">
        <v>3</v>
      </c>
      <c r="BH52">
        <f>BG52/BG65*100</f>
        <v>0.36319612590799033</v>
      </c>
      <c r="BI52">
        <v>2</v>
      </c>
      <c r="BJ52">
        <v>1</v>
      </c>
      <c r="BN52">
        <f t="shared" si="89"/>
        <v>3.6144578313253013E-3</v>
      </c>
      <c r="BO52">
        <f t="shared" si="90"/>
        <v>1.3064305414428801E-5</v>
      </c>
      <c r="BP52">
        <f t="shared" si="91"/>
        <v>-5.6228134121225342</v>
      </c>
      <c r="BQ52">
        <f t="shared" si="92"/>
        <v>-2.0323421971527231E-2</v>
      </c>
      <c r="BR52">
        <f t="shared" si="93"/>
        <v>-4.9438203756743656E-3</v>
      </c>
      <c r="BS52">
        <f t="shared" si="94"/>
        <v>8.9298827999525709</v>
      </c>
      <c r="CZ52" t="s">
        <v>303</v>
      </c>
      <c r="DA52" t="s">
        <v>333</v>
      </c>
      <c r="DC52">
        <v>2</v>
      </c>
      <c r="DE52">
        <f t="shared" si="47"/>
        <v>2</v>
      </c>
      <c r="DF52" s="36">
        <f t="shared" si="48"/>
        <v>0.26954177897574128</v>
      </c>
      <c r="DG52">
        <f t="shared" si="49"/>
        <v>2.6881720430107529E-3</v>
      </c>
      <c r="DH52">
        <f t="shared" si="50"/>
        <v>7.2262689328246053E-6</v>
      </c>
      <c r="DI52">
        <f t="shared" si="51"/>
        <v>-5.9188938542731462</v>
      </c>
      <c r="DJ52">
        <f t="shared" si="52"/>
        <v>-1.5911004984605234E-2</v>
      </c>
      <c r="DK52">
        <f t="shared" si="53"/>
        <v>-3.9353953068042924E-3</v>
      </c>
      <c r="DL52">
        <f t="shared" si="54"/>
        <v>8.4693969237312228</v>
      </c>
      <c r="DY52" t="s">
        <v>303</v>
      </c>
      <c r="DZ52" t="s">
        <v>82</v>
      </c>
      <c r="EB52">
        <v>18</v>
      </c>
      <c r="ED52">
        <f t="shared" si="62"/>
        <v>18</v>
      </c>
      <c r="EE52">
        <f t="shared" si="63"/>
        <v>1.5088013411567478</v>
      </c>
      <c r="EF52">
        <f t="shared" si="64"/>
        <v>1.5088013411567477E-2</v>
      </c>
      <c r="EG52">
        <f t="shared" si="65"/>
        <v>2.2764814870764006E-4</v>
      </c>
      <c r="EH52">
        <f t="shared" si="66"/>
        <v>-4.1938546642017513</v>
      </c>
      <c r="EI52">
        <f t="shared" si="67"/>
        <v>-6.3276935419640842E-2</v>
      </c>
      <c r="EJ52">
        <f t="shared" si="68"/>
        <v>-1.6345556648013185E-2</v>
      </c>
      <c r="EK52">
        <f t="shared" si="69"/>
        <v>6.6344576245322022</v>
      </c>
      <c r="EM52" t="s">
        <v>303</v>
      </c>
      <c r="EN52" s="1" t="s">
        <v>514</v>
      </c>
      <c r="EQ52">
        <v>3</v>
      </c>
      <c r="ER52">
        <v>4</v>
      </c>
      <c r="ES52">
        <f t="shared" si="95"/>
        <v>7</v>
      </c>
      <c r="ET52">
        <f t="shared" si="71"/>
        <v>8.7653393438517399E-2</v>
      </c>
      <c r="EU52">
        <f t="shared" si="72"/>
        <v>8.7653393438517403E-4</v>
      </c>
      <c r="EV52">
        <f t="shared" si="73"/>
        <v>7.6831173812875254E-7</v>
      </c>
      <c r="EW52">
        <f t="shared" si="74"/>
        <v>-7.0395351385678531</v>
      </c>
      <c r="EX52">
        <f t="shared" si="75"/>
        <v>-6.1703914312515613E-3</v>
      </c>
      <c r="EY52">
        <f t="shared" si="76"/>
        <v>-1.5854769641463454E-3</v>
      </c>
      <c r="EZ52">
        <f t="shared" si="77"/>
        <v>5.3419723189586055</v>
      </c>
      <c r="FB52" t="s">
        <v>321</v>
      </c>
      <c r="FC52" t="s">
        <v>520</v>
      </c>
      <c r="FF52">
        <v>4</v>
      </c>
      <c r="FH52">
        <f t="shared" si="96"/>
        <v>4</v>
      </c>
      <c r="FI52">
        <f t="shared" si="79"/>
        <v>7.0808992742078233E-2</v>
      </c>
      <c r="FJ52">
        <f t="shared" si="80"/>
        <v>7.0808992742078239E-4</v>
      </c>
      <c r="FK52">
        <f t="shared" si="81"/>
        <v>5.013913453147689E-7</v>
      </c>
      <c r="FL52">
        <f t="shared" si="82"/>
        <v>-7.2529394562053717</v>
      </c>
      <c r="FM52">
        <f t="shared" si="83"/>
        <v>-5.1357333731317902E-3</v>
      </c>
      <c r="FN52">
        <f t="shared" si="84"/>
        <v>-1.3128075591594627E-3</v>
      </c>
    </row>
    <row r="53" spans="3:170" x14ac:dyDescent="0.25">
      <c r="C53" s="17" t="s">
        <v>46</v>
      </c>
      <c r="D53">
        <v>2.95</v>
      </c>
      <c r="E53">
        <v>7.0000000000000007E-2</v>
      </c>
      <c r="F53">
        <v>2.95</v>
      </c>
      <c r="G53">
        <v>7.0000000000000007E-2</v>
      </c>
      <c r="I53" t="s">
        <v>340</v>
      </c>
      <c r="J53">
        <v>2.66</v>
      </c>
      <c r="AC53">
        <f>SUM(AC5:AC52)</f>
        <v>1045</v>
      </c>
      <c r="AD53" s="9">
        <f t="shared" si="18"/>
        <v>95.433789954337897</v>
      </c>
      <c r="AH53" s="3">
        <f>SUM(AH5:AH52)</f>
        <v>-2.9220811038341723</v>
      </c>
      <c r="AI53" s="14">
        <f>SUM(AI5:AI52)</f>
        <v>-0.7548254651723364</v>
      </c>
      <c r="AJ53" s="14">
        <f>AVERAGE(AJ5:AJ52)</f>
        <v>6.7608659905015491</v>
      </c>
      <c r="AK53" s="14"/>
      <c r="AL53" s="9"/>
      <c r="AM53" t="s">
        <v>568</v>
      </c>
      <c r="AN53" s="1" t="s">
        <v>453</v>
      </c>
      <c r="AO53" s="2">
        <f t="shared" si="25"/>
        <v>0.20639834881320948</v>
      </c>
      <c r="AP53">
        <v>2</v>
      </c>
      <c r="AQ53">
        <v>2</v>
      </c>
      <c r="AW53">
        <f t="shared" si="26"/>
        <v>2.0491803278688526E-3</v>
      </c>
      <c r="AX53">
        <f t="shared" si="27"/>
        <v>4.1991400161246981E-6</v>
      </c>
      <c r="AY53">
        <f t="shared" si="28"/>
        <v>-6.1903154058531475</v>
      </c>
      <c r="AZ53">
        <f t="shared" si="29"/>
        <v>-1.2685072552977761E-2</v>
      </c>
      <c r="BA53">
        <f t="shared" si="30"/>
        <v>-3.0857362624354579E-3</v>
      </c>
      <c r="BB53">
        <f t="shared" si="31"/>
        <v>8.7217468765167201</v>
      </c>
      <c r="BE53" t="s">
        <v>305</v>
      </c>
      <c r="BF53" s="1" t="s">
        <v>370</v>
      </c>
      <c r="BG53">
        <v>3</v>
      </c>
      <c r="BH53">
        <f>BG53/BG65*100</f>
        <v>0.36319612590799033</v>
      </c>
      <c r="BI53">
        <v>1</v>
      </c>
      <c r="BJ53">
        <v>1</v>
      </c>
      <c r="BK53">
        <v>1</v>
      </c>
      <c r="BN53">
        <f t="shared" si="89"/>
        <v>3.6144578313253013E-3</v>
      </c>
      <c r="BO53">
        <f t="shared" si="90"/>
        <v>1.3064305414428801E-5</v>
      </c>
      <c r="BP53">
        <f t="shared" si="91"/>
        <v>-5.6228134121225342</v>
      </c>
      <c r="BQ53">
        <f t="shared" si="92"/>
        <v>-2.0323421971527231E-2</v>
      </c>
      <c r="BR53">
        <f t="shared" si="93"/>
        <v>-4.9438203756743656E-3</v>
      </c>
      <c r="BS53">
        <f t="shared" si="94"/>
        <v>8.9298827999525709</v>
      </c>
      <c r="CZ53" t="s">
        <v>303</v>
      </c>
      <c r="DA53" t="s">
        <v>496</v>
      </c>
      <c r="DC53">
        <v>5</v>
      </c>
      <c r="DE53">
        <f t="shared" si="47"/>
        <v>5</v>
      </c>
      <c r="DF53" s="36">
        <f t="shared" si="48"/>
        <v>0.67385444743935319</v>
      </c>
      <c r="DG53">
        <f t="shared" si="49"/>
        <v>6.7204301075268818E-3</v>
      </c>
      <c r="DH53">
        <f t="shared" si="50"/>
        <v>4.5164180830153778E-5</v>
      </c>
      <c r="DI53">
        <f t="shared" si="51"/>
        <v>-5.0026031223989911</v>
      </c>
      <c r="DJ53">
        <f t="shared" si="52"/>
        <v>-3.3619644639778165E-2</v>
      </c>
      <c r="DK53">
        <f t="shared" si="53"/>
        <v>-8.3154138823930308E-3</v>
      </c>
      <c r="DL53">
        <f t="shared" si="54"/>
        <v>8.4693969237312228</v>
      </c>
      <c r="ED53">
        <f>SUM(ED5:ED52)</f>
        <v>1193</v>
      </c>
      <c r="EI53" s="3">
        <f>SUM(EI5:EI52)</f>
        <v>-2.4933245078888433</v>
      </c>
      <c r="EJ53" s="3">
        <f t="shared" si="68"/>
        <v>-0.64407001880382797</v>
      </c>
      <c r="EK53" s="3">
        <f>AVERAGE(EK5:EK52)</f>
        <v>6.6344576245321996</v>
      </c>
      <c r="EM53" t="s">
        <v>303</v>
      </c>
      <c r="EN53" t="s">
        <v>515</v>
      </c>
      <c r="ER53">
        <v>1</v>
      </c>
      <c r="ES53">
        <f t="shared" si="95"/>
        <v>1</v>
      </c>
      <c r="ET53">
        <f t="shared" si="71"/>
        <v>1.2521913348359628E-2</v>
      </c>
      <c r="EU53">
        <f t="shared" si="72"/>
        <v>1.2521913348359628E-4</v>
      </c>
      <c r="EV53">
        <f t="shared" si="73"/>
        <v>1.5679831390382703E-8</v>
      </c>
      <c r="EW53">
        <f t="shared" si="74"/>
        <v>-8.9854452876231665</v>
      </c>
      <c r="EX53">
        <f t="shared" si="75"/>
        <v>-1.1251496728804365E-3</v>
      </c>
      <c r="EY53">
        <f t="shared" si="76"/>
        <v>-2.8910627590556176E-4</v>
      </c>
      <c r="EZ53">
        <f t="shared" si="77"/>
        <v>5.3419723189586055</v>
      </c>
      <c r="FB53" t="s">
        <v>303</v>
      </c>
      <c r="FC53" t="s">
        <v>519</v>
      </c>
      <c r="FF53">
        <v>1</v>
      </c>
      <c r="FH53">
        <f t="shared" si="96"/>
        <v>1</v>
      </c>
      <c r="FI53">
        <f t="shared" si="79"/>
        <v>1.7702248185519558E-2</v>
      </c>
      <c r="FJ53">
        <f t="shared" si="80"/>
        <v>1.770224818551956E-4</v>
      </c>
      <c r="FK53">
        <f t="shared" si="81"/>
        <v>3.1336959082173057E-8</v>
      </c>
      <c r="FL53">
        <f t="shared" si="82"/>
        <v>-8.6392338173252625</v>
      </c>
      <c r="FM53">
        <f t="shared" si="83"/>
        <v>-1.5293386116702534E-3</v>
      </c>
      <c r="FN53">
        <f t="shared" si="84"/>
        <v>-3.9093292895982777E-4</v>
      </c>
    </row>
    <row r="54" spans="3:170" x14ac:dyDescent="0.25">
      <c r="C54" s="17" t="s">
        <v>220</v>
      </c>
      <c r="D54">
        <v>3.08</v>
      </c>
      <c r="E54">
        <v>7.0000000000000007E-2</v>
      </c>
      <c r="F54">
        <v>3.08</v>
      </c>
      <c r="G54">
        <v>7.0000000000000007E-2</v>
      </c>
      <c r="AD54" s="9">
        <f t="shared" si="18"/>
        <v>0</v>
      </c>
      <c r="AH54">
        <f>STDEV(AH5:AH52)</f>
        <v>6.9195999584905063E-2</v>
      </c>
      <c r="AI54" s="9">
        <f>STDEV(AI5:AI52)</f>
        <v>1.7874556084773549E-2</v>
      </c>
      <c r="AJ54" s="9">
        <f>STDEV(AJ5:AJ52)</f>
        <v>8.0781965539230826E-15</v>
      </c>
      <c r="AK54" s="9"/>
      <c r="AM54" t="s">
        <v>568</v>
      </c>
      <c r="AN54" s="1" t="s">
        <v>454</v>
      </c>
      <c r="AO54" s="2">
        <f t="shared" si="25"/>
        <v>0.30959752321981426</v>
      </c>
      <c r="AP54">
        <v>3</v>
      </c>
      <c r="AQ54">
        <v>3</v>
      </c>
      <c r="AR54">
        <v>1</v>
      </c>
      <c r="AW54">
        <f t="shared" si="26"/>
        <v>3.0737704918032786E-3</v>
      </c>
      <c r="AX54">
        <f t="shared" si="27"/>
        <v>9.4480650362805687E-6</v>
      </c>
      <c r="AY54">
        <f t="shared" si="28"/>
        <v>-5.7848502977449829</v>
      </c>
      <c r="AZ54">
        <f t="shared" si="29"/>
        <v>-1.7781302144707939E-2</v>
      </c>
      <c r="BA54">
        <f t="shared" si="30"/>
        <v>-4.3254312178424683E-3</v>
      </c>
      <c r="BB54">
        <f t="shared" si="31"/>
        <v>8.7217468765167201</v>
      </c>
      <c r="BE54" t="s">
        <v>305</v>
      </c>
      <c r="BF54" s="1" t="s">
        <v>469</v>
      </c>
      <c r="BG54">
        <v>2</v>
      </c>
      <c r="BH54">
        <f>BG54/BG65*100</f>
        <v>0.24213075060532688</v>
      </c>
      <c r="BI54">
        <v>1</v>
      </c>
      <c r="BJ54">
        <v>1</v>
      </c>
      <c r="BN54">
        <f t="shared" si="89"/>
        <v>2.4096385542168677E-3</v>
      </c>
      <c r="BO54">
        <f t="shared" si="90"/>
        <v>5.8063579619683563E-6</v>
      </c>
      <c r="BP54">
        <f t="shared" si="91"/>
        <v>-6.0282785202306979</v>
      </c>
      <c r="BQ54">
        <f t="shared" si="92"/>
        <v>-1.4525972337905297E-2</v>
      </c>
      <c r="BR54">
        <f t="shared" si="93"/>
        <v>-3.5335485392778993E-3</v>
      </c>
      <c r="BS54">
        <f t="shared" si="94"/>
        <v>8.9298827999525709</v>
      </c>
      <c r="CZ54" t="s">
        <v>303</v>
      </c>
      <c r="DA54" s="1" t="s">
        <v>335</v>
      </c>
      <c r="DC54">
        <v>1</v>
      </c>
      <c r="DE54">
        <f t="shared" si="47"/>
        <v>1</v>
      </c>
      <c r="DF54" s="36">
        <f t="shared" si="48"/>
        <v>0.13477088948787064</v>
      </c>
      <c r="DG54">
        <f t="shared" si="49"/>
        <v>1.3440860215053765E-3</v>
      </c>
      <c r="DH54">
        <f t="shared" si="50"/>
        <v>1.8065672332061513E-6</v>
      </c>
      <c r="DI54">
        <f t="shared" si="51"/>
        <v>-6.6120410348330916</v>
      </c>
      <c r="DJ54">
        <f t="shared" si="52"/>
        <v>-8.8871519285391026E-3</v>
      </c>
      <c r="DK54">
        <f t="shared" si="53"/>
        <v>-2.1981299122380516E-3</v>
      </c>
      <c r="DL54">
        <f t="shared" si="54"/>
        <v>8.4693969237312228</v>
      </c>
      <c r="EI54" s="3">
        <f>STDEV(EI5:EI52)</f>
        <v>8.1497040835364229E-2</v>
      </c>
      <c r="EJ54" s="2">
        <f t="shared" si="68"/>
        <v>2.1052133589996965E-2</v>
      </c>
      <c r="EK54">
        <f>STDEV(EK5:EK52)</f>
        <v>2.6927321846410275E-15</v>
      </c>
      <c r="ES54">
        <f>SUM(ES5:ES53)</f>
        <v>7986</v>
      </c>
      <c r="EX54" s="3">
        <f>SUM(EX5:EX53)</f>
        <v>-1.5476107202349687</v>
      </c>
      <c r="EY54" s="3">
        <f>SUM(EY5:EY53)</f>
        <v>-0.39765729188120347</v>
      </c>
      <c r="EZ54">
        <f>AVERAGE(EZ5:EZ53)</f>
        <v>5.3419723189586028</v>
      </c>
      <c r="FB54" t="s">
        <v>568</v>
      </c>
      <c r="FC54" s="1" t="s">
        <v>518</v>
      </c>
      <c r="FG54">
        <v>1</v>
      </c>
      <c r="FH54">
        <f t="shared" si="96"/>
        <v>1</v>
      </c>
      <c r="FI54">
        <f t="shared" si="79"/>
        <v>1.7702248185519558E-2</v>
      </c>
      <c r="FJ54">
        <f t="shared" si="80"/>
        <v>1.770224818551956E-4</v>
      </c>
      <c r="FK54">
        <f t="shared" si="81"/>
        <v>3.1336959082173057E-8</v>
      </c>
      <c r="FL54">
        <f t="shared" si="82"/>
        <v>-8.6392338173252625</v>
      </c>
      <c r="FM54">
        <f t="shared" si="83"/>
        <v>-1.5293386116702534E-3</v>
      </c>
      <c r="FN54">
        <f t="shared" si="84"/>
        <v>-3.9093292895982777E-4</v>
      </c>
    </row>
    <row r="55" spans="3:170" x14ac:dyDescent="0.25">
      <c r="C55" s="17" t="s">
        <v>680</v>
      </c>
      <c r="D55">
        <v>3.1</v>
      </c>
      <c r="E55">
        <v>0.06</v>
      </c>
      <c r="F55">
        <v>2.95</v>
      </c>
      <c r="G55">
        <v>7.0000000000000007E-2</v>
      </c>
      <c r="AM55" t="s">
        <v>303</v>
      </c>
      <c r="AN55" s="1" t="s">
        <v>139</v>
      </c>
      <c r="AO55" s="2">
        <f t="shared" si="25"/>
        <v>0.61919504643962853</v>
      </c>
      <c r="AP55">
        <v>6</v>
      </c>
      <c r="AQ55">
        <v>4</v>
      </c>
      <c r="AR55">
        <v>1</v>
      </c>
      <c r="AS55">
        <v>1</v>
      </c>
      <c r="AW55">
        <f t="shared" si="26"/>
        <v>6.1475409836065573E-3</v>
      </c>
      <c r="AX55">
        <f t="shared" si="27"/>
        <v>3.7792260145122275E-5</v>
      </c>
      <c r="AY55">
        <f t="shared" si="28"/>
        <v>-5.0917031171850375</v>
      </c>
      <c r="AZ55">
        <f t="shared" si="29"/>
        <v>-3.1301453589252279E-2</v>
      </c>
      <c r="BA55">
        <f t="shared" si="30"/>
        <v>-7.6143065011183312E-3</v>
      </c>
      <c r="BB55">
        <f t="shared" si="31"/>
        <v>8.7217468765167201</v>
      </c>
      <c r="BE55" t="s">
        <v>321</v>
      </c>
      <c r="BF55" s="1" t="s">
        <v>470</v>
      </c>
      <c r="BG55">
        <v>9</v>
      </c>
      <c r="BH55">
        <f>BG55/BG65*100</f>
        <v>1.0895883777239708</v>
      </c>
      <c r="BI55">
        <v>3</v>
      </c>
      <c r="BJ55">
        <v>6</v>
      </c>
      <c r="BN55">
        <f t="shared" si="89"/>
        <v>1.0843373493975903E-2</v>
      </c>
      <c r="BO55">
        <f t="shared" si="90"/>
        <v>1.1757874872985919E-4</v>
      </c>
      <c r="BP55">
        <f t="shared" si="91"/>
        <v>-4.5242011234544242</v>
      </c>
      <c r="BQ55">
        <f t="shared" si="92"/>
        <v>-4.905760254348171E-2</v>
      </c>
      <c r="BR55">
        <f t="shared" si="93"/>
        <v>-1.1933619022228769E-2</v>
      </c>
      <c r="BS55">
        <f t="shared" si="94"/>
        <v>8.9298827999525709</v>
      </c>
      <c r="CZ55" t="s">
        <v>303</v>
      </c>
      <c r="DA55" t="s">
        <v>111</v>
      </c>
      <c r="DC55">
        <v>1</v>
      </c>
      <c r="DE55">
        <f t="shared" si="47"/>
        <v>1</v>
      </c>
      <c r="DF55" s="36">
        <f t="shared" si="48"/>
        <v>0.13477088948787064</v>
      </c>
      <c r="DG55">
        <f t="shared" si="49"/>
        <v>1.3440860215053765E-3</v>
      </c>
      <c r="DH55">
        <f t="shared" si="50"/>
        <v>1.8065672332061513E-6</v>
      </c>
      <c r="DI55">
        <f t="shared" si="51"/>
        <v>-6.6120410348330916</v>
      </c>
      <c r="DJ55">
        <f t="shared" si="52"/>
        <v>-8.8871519285391026E-3</v>
      </c>
      <c r="DK55">
        <f t="shared" si="53"/>
        <v>-2.1981299122380516E-3</v>
      </c>
      <c r="DL55">
        <f t="shared" si="54"/>
        <v>8.4693969237312228</v>
      </c>
      <c r="EX55" s="2">
        <f>STDEV(EX5:EX53)</f>
        <v>8.63847970363949E-2</v>
      </c>
      <c r="EY55">
        <f t="shared" si="76"/>
        <v>2.2196502001475348E-2</v>
      </c>
      <c r="EZ55">
        <f>STDEV(EZ5:EZ53)</f>
        <v>2.6921477609369894E-15</v>
      </c>
      <c r="FH55">
        <f>SUM(FH5:FH54)</f>
        <v>5649</v>
      </c>
      <c r="FM55" s="3">
        <f>SUM(FM5:FM54)</f>
        <v>-1.1285105723914306</v>
      </c>
      <c r="FN55" s="3">
        <f>SUM(FN5:FN54)</f>
        <v>-0.28847237626812544</v>
      </c>
    </row>
    <row r="56" spans="3:170" x14ac:dyDescent="0.25">
      <c r="C56" s="17" t="s">
        <v>681</v>
      </c>
      <c r="D56">
        <v>3.43</v>
      </c>
      <c r="E56">
        <v>0.05</v>
      </c>
      <c r="F56">
        <v>2.2999999999999998</v>
      </c>
      <c r="G56">
        <v>7.0000000000000007E-2</v>
      </c>
      <c r="AM56" t="s">
        <v>303</v>
      </c>
      <c r="AN56" s="1" t="s">
        <v>274</v>
      </c>
      <c r="AO56" s="2">
        <f t="shared" si="25"/>
        <v>11.042311661506709</v>
      </c>
      <c r="AP56">
        <v>107</v>
      </c>
      <c r="AQ56">
        <v>1</v>
      </c>
      <c r="AR56">
        <v>4</v>
      </c>
      <c r="AW56">
        <f t="shared" si="26"/>
        <v>0.1096311475409836</v>
      </c>
      <c r="AX56">
        <f t="shared" si="27"/>
        <v>1.2018988511152915E-2</v>
      </c>
      <c r="AY56">
        <f t="shared" si="28"/>
        <v>-2.2106337519511863</v>
      </c>
      <c r="AZ56">
        <f t="shared" si="29"/>
        <v>-0.24235431501923865</v>
      </c>
      <c r="BA56">
        <f t="shared" si="30"/>
        <v>-5.8954451784906721E-2</v>
      </c>
      <c r="BB56">
        <f t="shared" si="31"/>
        <v>8.7217468765167201</v>
      </c>
      <c r="BE56" t="s">
        <v>303</v>
      </c>
      <c r="BF56" s="1" t="s">
        <v>286</v>
      </c>
      <c r="BG56">
        <v>1</v>
      </c>
      <c r="BH56">
        <f>BG56/BG65*100</f>
        <v>0.12106537530266344</v>
      </c>
      <c r="BI56">
        <v>1</v>
      </c>
      <c r="BN56">
        <f t="shared" si="89"/>
        <v>1.2048192771084338E-3</v>
      </c>
      <c r="BO56">
        <f t="shared" si="90"/>
        <v>1.4515894904920891E-6</v>
      </c>
      <c r="BP56">
        <f t="shared" si="91"/>
        <v>-6.7214257007906433</v>
      </c>
      <c r="BQ56">
        <f t="shared" si="92"/>
        <v>-8.0981032539646312E-3</v>
      </c>
      <c r="BR56">
        <f t="shared" si="93"/>
        <v>-1.9699225813130474E-3</v>
      </c>
      <c r="BS56">
        <f t="shared" si="94"/>
        <v>8.9298827999525709</v>
      </c>
      <c r="CZ56" t="s">
        <v>321</v>
      </c>
      <c r="DA56" s="1" t="s">
        <v>404</v>
      </c>
      <c r="DC56">
        <v>10</v>
      </c>
      <c r="DE56">
        <f t="shared" si="47"/>
        <v>10</v>
      </c>
      <c r="DF56" s="36">
        <f t="shared" si="48"/>
        <v>1.3477088948787064</v>
      </c>
      <c r="DG56">
        <f t="shared" si="49"/>
        <v>1.3440860215053764E-2</v>
      </c>
      <c r="DH56">
        <f t="shared" si="50"/>
        <v>1.8065672332061511E-4</v>
      </c>
      <c r="DI56">
        <f t="shared" si="51"/>
        <v>-4.3094559418390466</v>
      </c>
      <c r="DJ56">
        <f t="shared" si="52"/>
        <v>-5.7922794917191489E-2</v>
      </c>
      <c r="DK56">
        <f t="shared" si="53"/>
        <v>-1.4326505176427015E-2</v>
      </c>
      <c r="DL56">
        <f t="shared" si="54"/>
        <v>8.4693969237312228</v>
      </c>
      <c r="FM56" s="3">
        <f>STDEV(FM5:FM54)</f>
        <v>6.8613562692902794E-2</v>
      </c>
      <c r="FN56">
        <f t="shared" si="84"/>
        <v>1.753915112403422E-2</v>
      </c>
    </row>
    <row r="57" spans="3:170" x14ac:dyDescent="0.25">
      <c r="C57" s="17" t="s">
        <v>682</v>
      </c>
      <c r="D57">
        <v>1.84</v>
      </c>
      <c r="E57">
        <v>0.08</v>
      </c>
      <c r="F57">
        <v>2.2000000000000002</v>
      </c>
      <c r="G57">
        <v>0.08</v>
      </c>
      <c r="AM57" t="s">
        <v>303</v>
      </c>
      <c r="AN57" s="1" t="s">
        <v>455</v>
      </c>
      <c r="AO57" s="2">
        <f t="shared" si="25"/>
        <v>0.10319917440660474</v>
      </c>
      <c r="AP57">
        <v>1</v>
      </c>
      <c r="AQ57">
        <v>1</v>
      </c>
      <c r="AW57">
        <f t="shared" si="26"/>
        <v>1.0245901639344263E-3</v>
      </c>
      <c r="AX57">
        <f t="shared" si="27"/>
        <v>1.0497850040311745E-6</v>
      </c>
      <c r="AY57">
        <f t="shared" si="28"/>
        <v>-6.8834625864130921</v>
      </c>
      <c r="AZ57">
        <f t="shared" si="29"/>
        <v>-7.0527280598494798E-3</v>
      </c>
      <c r="BA57">
        <f t="shared" si="30"/>
        <v>-1.7156274536454963E-3</v>
      </c>
      <c r="BB57">
        <f t="shared" si="31"/>
        <v>8.7217468765167201</v>
      </c>
      <c r="BE57" t="s">
        <v>303</v>
      </c>
      <c r="BF57" s="1" t="s">
        <v>471</v>
      </c>
      <c r="BG57">
        <v>2</v>
      </c>
      <c r="BH57">
        <f>BG57/BG65*100</f>
        <v>0.24213075060532688</v>
      </c>
      <c r="BI57" s="4">
        <v>2</v>
      </c>
      <c r="BN57">
        <f t="shared" si="89"/>
        <v>2.4096385542168677E-3</v>
      </c>
      <c r="BO57">
        <f t="shared" si="90"/>
        <v>5.8063579619683563E-6</v>
      </c>
      <c r="BP57">
        <f t="shared" si="91"/>
        <v>-6.0282785202306979</v>
      </c>
      <c r="BQ57">
        <f t="shared" si="92"/>
        <v>-1.4525972337905297E-2</v>
      </c>
      <c r="BR57">
        <f t="shared" si="93"/>
        <v>-3.5335485392778993E-3</v>
      </c>
      <c r="BS57">
        <f t="shared" si="94"/>
        <v>8.9298827999525709</v>
      </c>
      <c r="CZ57" t="s">
        <v>303</v>
      </c>
      <c r="DA57" s="1" t="s">
        <v>68</v>
      </c>
      <c r="DD57">
        <v>1</v>
      </c>
      <c r="DE57">
        <f t="shared" si="47"/>
        <v>1</v>
      </c>
      <c r="DF57" s="36">
        <f t="shared" si="48"/>
        <v>0.13477088948787064</v>
      </c>
      <c r="DG57">
        <f t="shared" si="49"/>
        <v>1.3440860215053765E-3</v>
      </c>
      <c r="DH57">
        <f t="shared" si="50"/>
        <v>1.8065672332061513E-6</v>
      </c>
      <c r="DI57">
        <f t="shared" si="51"/>
        <v>-6.6120410348330916</v>
      </c>
      <c r="DJ57">
        <f t="shared" si="52"/>
        <v>-8.8871519285391026E-3</v>
      </c>
      <c r="DK57">
        <f t="shared" si="53"/>
        <v>-2.1981299122380516E-3</v>
      </c>
      <c r="DL57">
        <f t="shared" si="54"/>
        <v>8.4693969237312228</v>
      </c>
    </row>
    <row r="58" spans="3:170" x14ac:dyDescent="0.25">
      <c r="C58" s="17" t="s">
        <v>267</v>
      </c>
      <c r="D58">
        <v>2.96</v>
      </c>
      <c r="E58">
        <v>7.0000000000000007E-2</v>
      </c>
      <c r="F58">
        <v>2.14</v>
      </c>
      <c r="G58">
        <v>0.08</v>
      </c>
      <c r="AM58" t="s">
        <v>303</v>
      </c>
      <c r="AN58" s="1" t="s">
        <v>32</v>
      </c>
      <c r="AO58" s="2">
        <f t="shared" si="25"/>
        <v>0.30959752321981426</v>
      </c>
      <c r="AP58">
        <v>3</v>
      </c>
      <c r="AQ58">
        <v>3</v>
      </c>
      <c r="AW58">
        <f t="shared" si="26"/>
        <v>3.0737704918032786E-3</v>
      </c>
      <c r="AX58">
        <f t="shared" si="27"/>
        <v>9.4480650362805687E-6</v>
      </c>
      <c r="AY58">
        <f t="shared" si="28"/>
        <v>-5.7848502977449829</v>
      </c>
      <c r="AZ58">
        <f t="shared" si="29"/>
        <v>-1.7781302144707939E-2</v>
      </c>
      <c r="BA58">
        <f t="shared" si="30"/>
        <v>-4.3254312178424683E-3</v>
      </c>
      <c r="BB58">
        <f t="shared" si="31"/>
        <v>8.7217468765167201</v>
      </c>
      <c r="BE58" t="s">
        <v>305</v>
      </c>
      <c r="BF58" s="1" t="s">
        <v>472</v>
      </c>
      <c r="BG58">
        <v>1</v>
      </c>
      <c r="BH58">
        <f>BG58/BG65*100</f>
        <v>0.12106537530266344</v>
      </c>
      <c r="BI58" s="4">
        <v>1</v>
      </c>
      <c r="BN58">
        <f t="shared" si="89"/>
        <v>1.2048192771084338E-3</v>
      </c>
      <c r="BO58">
        <f t="shared" si="90"/>
        <v>1.4515894904920891E-6</v>
      </c>
      <c r="BP58">
        <f t="shared" si="91"/>
        <v>-6.7214257007906433</v>
      </c>
      <c r="BQ58">
        <f t="shared" si="92"/>
        <v>-8.0981032539646312E-3</v>
      </c>
      <c r="BR58">
        <f t="shared" si="93"/>
        <v>-1.9699225813130474E-3</v>
      </c>
      <c r="BS58">
        <f t="shared" si="94"/>
        <v>8.9298827999525709</v>
      </c>
      <c r="CZ58" t="s">
        <v>305</v>
      </c>
      <c r="DA58" s="1" t="s">
        <v>370</v>
      </c>
      <c r="DD58">
        <v>4</v>
      </c>
      <c r="DE58">
        <f t="shared" si="47"/>
        <v>4</v>
      </c>
      <c r="DF58" s="36">
        <f t="shared" si="48"/>
        <v>0.53908355795148255</v>
      </c>
      <c r="DG58">
        <f t="shared" si="49"/>
        <v>5.3763440860215058E-3</v>
      </c>
      <c r="DH58">
        <f t="shared" si="50"/>
        <v>2.8905075731298421E-5</v>
      </c>
      <c r="DI58">
        <f t="shared" si="51"/>
        <v>-5.2257466737132008</v>
      </c>
      <c r="DJ58">
        <f t="shared" si="52"/>
        <v>-2.8095412224264524E-2</v>
      </c>
      <c r="DK58">
        <f t="shared" si="53"/>
        <v>-6.949061578264964E-3</v>
      </c>
      <c r="DL58">
        <f t="shared" si="54"/>
        <v>8.4693969237312228</v>
      </c>
    </row>
    <row r="59" spans="3:170" x14ac:dyDescent="0.25">
      <c r="C59" s="17" t="s">
        <v>272</v>
      </c>
      <c r="D59">
        <v>3.32</v>
      </c>
      <c r="E59">
        <v>0.06</v>
      </c>
      <c r="F59">
        <v>3.11</v>
      </c>
      <c r="G59">
        <v>0.11</v>
      </c>
      <c r="AM59" t="s">
        <v>303</v>
      </c>
      <c r="AN59" s="1" t="s">
        <v>456</v>
      </c>
      <c r="AO59" s="2">
        <f t="shared" si="25"/>
        <v>0.10319917440660474</v>
      </c>
      <c r="AP59">
        <v>1</v>
      </c>
      <c r="AQ59">
        <v>1</v>
      </c>
      <c r="AW59">
        <f t="shared" si="26"/>
        <v>1.0245901639344263E-3</v>
      </c>
      <c r="AX59">
        <f t="shared" si="27"/>
        <v>1.0497850040311745E-6</v>
      </c>
      <c r="AY59">
        <f t="shared" si="28"/>
        <v>-6.8834625864130921</v>
      </c>
      <c r="AZ59">
        <f t="shared" si="29"/>
        <v>-7.0527280598494798E-3</v>
      </c>
      <c r="BA59">
        <f t="shared" si="30"/>
        <v>-1.7156274536454963E-3</v>
      </c>
      <c r="BB59">
        <f t="shared" si="31"/>
        <v>8.7217468765167201</v>
      </c>
      <c r="BE59" t="s">
        <v>322</v>
      </c>
      <c r="BF59" s="1" t="s">
        <v>473</v>
      </c>
      <c r="BG59">
        <v>35</v>
      </c>
      <c r="BH59">
        <f>BG59/BG65*100</f>
        <v>4.2372881355932197</v>
      </c>
      <c r="BI59" s="4">
        <v>5</v>
      </c>
      <c r="BJ59">
        <v>27</v>
      </c>
      <c r="BN59">
        <f t="shared" si="89"/>
        <v>4.2168674698795178E-2</v>
      </c>
      <c r="BO59">
        <f t="shared" si="90"/>
        <v>1.7781971258528087E-3</v>
      </c>
      <c r="BP59">
        <f t="shared" si="91"/>
        <v>-3.1660776393012302</v>
      </c>
      <c r="BQ59">
        <f t="shared" si="92"/>
        <v>-0.13350929804282294</v>
      </c>
      <c r="BR59">
        <f t="shared" si="93"/>
        <v>-3.247710887127192E-2</v>
      </c>
      <c r="BS59">
        <f t="shared" si="94"/>
        <v>8.9298827999525709</v>
      </c>
      <c r="CZ59" t="s">
        <v>315</v>
      </c>
      <c r="DA59" t="s">
        <v>112</v>
      </c>
      <c r="DD59">
        <v>3</v>
      </c>
      <c r="DE59">
        <f t="shared" si="47"/>
        <v>3</v>
      </c>
      <c r="DF59" s="36">
        <f t="shared" si="48"/>
        <v>0.40431266846361186</v>
      </c>
      <c r="DG59">
        <f t="shared" si="49"/>
        <v>4.0322580645161289E-3</v>
      </c>
      <c r="DH59">
        <f t="shared" si="50"/>
        <v>1.6259105098855357E-5</v>
      </c>
      <c r="DI59">
        <f t="shared" si="51"/>
        <v>-5.5134287461649825</v>
      </c>
      <c r="DJ59">
        <f t="shared" si="52"/>
        <v>-2.2231567524858799E-2</v>
      </c>
      <c r="DK59">
        <f t="shared" si="53"/>
        <v>-5.4987102690800113E-3</v>
      </c>
      <c r="DL59">
        <f t="shared" si="54"/>
        <v>8.4693969237312228</v>
      </c>
    </row>
    <row r="60" spans="3:170" x14ac:dyDescent="0.25">
      <c r="C60" s="17" t="s">
        <v>372</v>
      </c>
      <c r="D60">
        <v>2.82</v>
      </c>
      <c r="E60">
        <v>0.08</v>
      </c>
      <c r="F60">
        <v>2.85</v>
      </c>
      <c r="G60">
        <v>0.06</v>
      </c>
      <c r="AM60" t="s">
        <v>305</v>
      </c>
      <c r="AN60" s="1" t="s">
        <v>457</v>
      </c>
      <c r="AO60" s="2">
        <f t="shared" si="25"/>
        <v>0.20639834881320948</v>
      </c>
      <c r="AP60">
        <v>2</v>
      </c>
      <c r="AQ60">
        <v>2</v>
      </c>
      <c r="AW60">
        <f t="shared" si="26"/>
        <v>2.0491803278688526E-3</v>
      </c>
      <c r="AX60">
        <f t="shared" si="27"/>
        <v>4.1991400161246981E-6</v>
      </c>
      <c r="AY60">
        <f t="shared" si="28"/>
        <v>-6.1903154058531475</v>
      </c>
      <c r="AZ60">
        <f t="shared" si="29"/>
        <v>-1.2685072552977761E-2</v>
      </c>
      <c r="BA60">
        <f t="shared" si="30"/>
        <v>-3.0857362624354579E-3</v>
      </c>
      <c r="BB60">
        <f t="shared" si="31"/>
        <v>8.7217468765167201</v>
      </c>
      <c r="BE60" t="s">
        <v>303</v>
      </c>
      <c r="BF60" s="1" t="s">
        <v>144</v>
      </c>
      <c r="BG60">
        <v>1</v>
      </c>
      <c r="BH60">
        <f>BG60/BG65*100</f>
        <v>0.12106537530266344</v>
      </c>
      <c r="BI60" s="4">
        <v>1</v>
      </c>
      <c r="BN60">
        <f t="shared" si="89"/>
        <v>1.2048192771084338E-3</v>
      </c>
      <c r="BO60">
        <f t="shared" si="90"/>
        <v>1.4515894904920891E-6</v>
      </c>
      <c r="BP60">
        <f t="shared" si="91"/>
        <v>-6.7214257007906433</v>
      </c>
      <c r="BQ60">
        <f t="shared" si="92"/>
        <v>-8.0981032539646312E-3</v>
      </c>
      <c r="BR60">
        <f t="shared" si="93"/>
        <v>-1.9699225813130474E-3</v>
      </c>
      <c r="BS60">
        <f t="shared" si="94"/>
        <v>8.9298827999525709</v>
      </c>
      <c r="CZ60" t="s">
        <v>568</v>
      </c>
      <c r="DA60" s="1" t="s">
        <v>67</v>
      </c>
      <c r="DD60">
        <v>1</v>
      </c>
      <c r="DE60">
        <f t="shared" si="47"/>
        <v>1</v>
      </c>
      <c r="DF60" s="36">
        <f t="shared" si="48"/>
        <v>0.13477088948787064</v>
      </c>
      <c r="DG60">
        <f t="shared" si="49"/>
        <v>1.3440860215053765E-3</v>
      </c>
      <c r="DH60">
        <f t="shared" si="50"/>
        <v>1.8065672332061513E-6</v>
      </c>
      <c r="DI60">
        <f t="shared" si="51"/>
        <v>-6.6120410348330916</v>
      </c>
      <c r="DJ60">
        <f t="shared" si="52"/>
        <v>-8.8871519285391026E-3</v>
      </c>
      <c r="DK60">
        <f t="shared" si="53"/>
        <v>-2.1981299122380516E-3</v>
      </c>
      <c r="DL60">
        <f t="shared" si="54"/>
        <v>8.4693969237312228</v>
      </c>
    </row>
    <row r="61" spans="3:170" x14ac:dyDescent="0.25">
      <c r="C61" s="17" t="s">
        <v>373</v>
      </c>
      <c r="D61">
        <v>2.4900000000000002</v>
      </c>
      <c r="E61" s="22">
        <v>8.1000000000000003E-2</v>
      </c>
      <c r="F61" s="22">
        <v>2.9</v>
      </c>
      <c r="G61" s="22">
        <v>7.3999999999999996E-2</v>
      </c>
      <c r="AM61" t="s">
        <v>315</v>
      </c>
      <c r="AN61" s="1" t="s">
        <v>458</v>
      </c>
      <c r="AO61" s="2">
        <f t="shared" si="25"/>
        <v>0.20639834881320948</v>
      </c>
      <c r="AP61">
        <v>2</v>
      </c>
      <c r="AW61">
        <f t="shared" si="26"/>
        <v>2.0491803278688526E-3</v>
      </c>
      <c r="AX61">
        <f t="shared" si="27"/>
        <v>4.1991400161246981E-6</v>
      </c>
      <c r="AY61">
        <f t="shared" si="28"/>
        <v>-6.1903154058531475</v>
      </c>
      <c r="AZ61">
        <f t="shared" si="29"/>
        <v>-1.2685072552977761E-2</v>
      </c>
      <c r="BA61">
        <f t="shared" si="30"/>
        <v>-3.0857362624354579E-3</v>
      </c>
      <c r="BB61">
        <f t="shared" si="31"/>
        <v>8.7217468765167201</v>
      </c>
      <c r="BE61" t="s">
        <v>305</v>
      </c>
      <c r="BF61" s="1" t="s">
        <v>201</v>
      </c>
      <c r="BG61">
        <v>5</v>
      </c>
      <c r="BH61">
        <f>BG61/BG65*100</f>
        <v>0.60532687651331718</v>
      </c>
      <c r="BI61" s="4">
        <v>5</v>
      </c>
      <c r="BN61">
        <f t="shared" si="89"/>
        <v>6.024096385542169E-3</v>
      </c>
      <c r="BO61">
        <f t="shared" si="90"/>
        <v>3.6289737262302225E-5</v>
      </c>
      <c r="BP61">
        <f t="shared" si="91"/>
        <v>-5.1119877883565428</v>
      </c>
      <c r="BQ61">
        <f t="shared" si="92"/>
        <v>-3.0795107158774357E-2</v>
      </c>
      <c r="BR61">
        <f t="shared" si="93"/>
        <v>-7.491134045040127E-3</v>
      </c>
      <c r="BS61">
        <f t="shared" si="94"/>
        <v>8.9298827999525709</v>
      </c>
      <c r="DE61" s="3">
        <f>SUM(DE5:DE60)</f>
        <v>742</v>
      </c>
      <c r="DF61" s="36">
        <f t="shared" si="48"/>
        <v>100</v>
      </c>
      <c r="DJ61" s="3">
        <f>SUM(DJ5:DJ60)</f>
        <v>-3.3028958688969103</v>
      </c>
      <c r="DK61" s="3">
        <f>SUM(DK5:DK60)</f>
        <v>-0.81693148320276743</v>
      </c>
      <c r="DL61" s="3">
        <f>AVERAGE(DL5:DL60)</f>
        <v>8.4693969237312139</v>
      </c>
    </row>
    <row r="62" spans="3:170" x14ac:dyDescent="0.25">
      <c r="C62" s="17" t="s">
        <v>381</v>
      </c>
      <c r="D62">
        <v>1.55</v>
      </c>
      <c r="E62" s="22">
        <v>8.5999999999999993E-2</v>
      </c>
      <c r="F62">
        <v>2.88</v>
      </c>
      <c r="G62" s="22">
        <v>7.8E-2</v>
      </c>
      <c r="AM62" t="s">
        <v>305</v>
      </c>
      <c r="AN62" s="1" t="s">
        <v>43</v>
      </c>
      <c r="AO62" s="2">
        <f t="shared" si="25"/>
        <v>0.20639834881320948</v>
      </c>
      <c r="AP62">
        <v>2</v>
      </c>
      <c r="AW62">
        <f>AP62/976</f>
        <v>2.0491803278688526E-3</v>
      </c>
      <c r="AX62">
        <f t="shared" si="27"/>
        <v>4.1991400161246981E-6</v>
      </c>
      <c r="AY62">
        <f t="shared" si="28"/>
        <v>-6.1903154058531475</v>
      </c>
      <c r="AZ62">
        <f t="shared" si="29"/>
        <v>-1.2685072552977761E-2</v>
      </c>
      <c r="BA62">
        <f t="shared" si="30"/>
        <v>-3.0857362624354579E-3</v>
      </c>
      <c r="BB62">
        <f t="shared" si="31"/>
        <v>8.7217468765167201</v>
      </c>
      <c r="BE62" t="s">
        <v>315</v>
      </c>
      <c r="BF62" s="18" t="s">
        <v>474</v>
      </c>
      <c r="BG62" s="15">
        <v>6</v>
      </c>
      <c r="BH62" s="15">
        <f>BG62/BG65*100</f>
        <v>0.72639225181598066</v>
      </c>
      <c r="BI62" s="4">
        <v>6</v>
      </c>
      <c r="BN62">
        <f t="shared" si="89"/>
        <v>7.2289156626506026E-3</v>
      </c>
      <c r="BO62">
        <f t="shared" si="90"/>
        <v>5.2257221657715204E-5</v>
      </c>
      <c r="BP62">
        <f t="shared" si="91"/>
        <v>-4.9296662315625888</v>
      </c>
      <c r="BQ62">
        <f t="shared" si="92"/>
        <v>-3.563614143298257E-2</v>
      </c>
      <c r="BR62">
        <f t="shared" si="93"/>
        <v>-8.6687508813041454E-3</v>
      </c>
      <c r="BS62">
        <f t="shared" si="94"/>
        <v>8.9298827999525709</v>
      </c>
      <c r="DJ62">
        <f>STDEV(DJ5:DJ60)</f>
        <v>6.1146176060715304E-2</v>
      </c>
      <c r="DK62">
        <f t="shared" si="53"/>
        <v>1.5123769650703705E-2</v>
      </c>
      <c r="DL62">
        <f>STDEV(DL5:DL60)</f>
        <v>8.9621639728945189E-15</v>
      </c>
      <c r="DM62" s="3"/>
    </row>
    <row r="63" spans="3:170" x14ac:dyDescent="0.25">
      <c r="C63" s="17" t="s">
        <v>392</v>
      </c>
      <c r="D63">
        <v>1.1299999999999999</v>
      </c>
      <c r="E63" s="22">
        <v>6.9000000000000006E-2</v>
      </c>
      <c r="F63">
        <v>3.02</v>
      </c>
      <c r="G63" s="22">
        <v>6.8000000000000005E-2</v>
      </c>
      <c r="AM63" t="s">
        <v>303</v>
      </c>
      <c r="AN63" s="1" t="s">
        <v>459</v>
      </c>
      <c r="AO63" s="2">
        <f t="shared" si="25"/>
        <v>0.10319917440660474</v>
      </c>
      <c r="AP63">
        <v>1</v>
      </c>
      <c r="AW63">
        <f>AP63/976</f>
        <v>1.0245901639344263E-3</v>
      </c>
      <c r="AX63">
        <f>AW63^2</f>
        <v>1.0497850040311745E-6</v>
      </c>
      <c r="AY63">
        <f>LN(AW63)</f>
        <v>-6.8834625864130921</v>
      </c>
      <c r="AZ63">
        <f>AW63*AY63</f>
        <v>-7.0527280598494798E-3</v>
      </c>
      <c r="BA63">
        <f t="shared" si="30"/>
        <v>-1.7156274536454963E-3</v>
      </c>
      <c r="BB63">
        <f t="shared" si="31"/>
        <v>8.7217468765167201</v>
      </c>
      <c r="BE63" t="s">
        <v>315</v>
      </c>
      <c r="BF63" s="1" t="s">
        <v>475</v>
      </c>
      <c r="BG63">
        <v>1</v>
      </c>
      <c r="BH63">
        <f>BG63/BG65*100</f>
        <v>0.12106537530266344</v>
      </c>
      <c r="BI63" s="4">
        <v>1</v>
      </c>
      <c r="BN63">
        <f t="shared" si="89"/>
        <v>1.2048192771084338E-3</v>
      </c>
      <c r="BO63">
        <f t="shared" si="90"/>
        <v>1.4515894904920891E-6</v>
      </c>
      <c r="BP63">
        <f t="shared" si="91"/>
        <v>-6.7214257007906433</v>
      </c>
      <c r="BQ63">
        <f t="shared" si="92"/>
        <v>-8.0981032539646312E-3</v>
      </c>
      <c r="BR63">
        <f t="shared" si="93"/>
        <v>-1.9699225813130474E-3</v>
      </c>
      <c r="BS63">
        <f t="shared" si="94"/>
        <v>8.9298827999525709</v>
      </c>
    </row>
    <row r="64" spans="3:170" x14ac:dyDescent="0.25">
      <c r="D64">
        <f>AVERAGE(D52:D63)</f>
        <v>2.6125000000000003</v>
      </c>
      <c r="F64">
        <f>AVERAGE(F52:F63)</f>
        <v>2.6591666666666667</v>
      </c>
      <c r="AM64" t="s">
        <v>303</v>
      </c>
      <c r="AN64" s="1" t="s">
        <v>45</v>
      </c>
      <c r="AO64" s="2">
        <f t="shared" si="25"/>
        <v>0.20639834881320948</v>
      </c>
      <c r="AP64">
        <v>2</v>
      </c>
      <c r="AW64">
        <f>AP64/976</f>
        <v>2.0491803278688526E-3</v>
      </c>
      <c r="AX64">
        <f>AW64^2</f>
        <v>4.1991400161246981E-6</v>
      </c>
      <c r="AY64">
        <f>LN(AW64)</f>
        <v>-6.1903154058531475</v>
      </c>
      <c r="AZ64">
        <f>AW64*AY64</f>
        <v>-1.2685072552977761E-2</v>
      </c>
      <c r="BA64">
        <f t="shared" si="30"/>
        <v>-3.0857362624354579E-3</v>
      </c>
      <c r="BB64">
        <f t="shared" si="31"/>
        <v>8.7217468765167201</v>
      </c>
      <c r="BE64" t="s">
        <v>303</v>
      </c>
      <c r="BF64" s="1" t="s">
        <v>126</v>
      </c>
      <c r="BG64">
        <v>1</v>
      </c>
      <c r="BH64">
        <f>BG64/BG65*100</f>
        <v>0.12106537530266344</v>
      </c>
      <c r="BI64" s="4">
        <v>1</v>
      </c>
      <c r="BN64">
        <f t="shared" si="89"/>
        <v>1.2048192771084338E-3</v>
      </c>
      <c r="BO64">
        <f t="shared" si="90"/>
        <v>1.4515894904920891E-6</v>
      </c>
      <c r="BP64">
        <f t="shared" si="91"/>
        <v>-6.7214257007906433</v>
      </c>
      <c r="BQ64">
        <f t="shared" si="92"/>
        <v>-8.0981032539646312E-3</v>
      </c>
      <c r="BR64">
        <f t="shared" si="93"/>
        <v>-1.9699225813130474E-3</v>
      </c>
      <c r="BS64">
        <f t="shared" si="94"/>
        <v>8.9298827999525709</v>
      </c>
    </row>
    <row r="65" spans="3:71" x14ac:dyDescent="0.25">
      <c r="AO65" s="2">
        <f t="shared" si="25"/>
        <v>100</v>
      </c>
      <c r="AP65" s="3">
        <f>SUM(AP5:AP64)</f>
        <v>969</v>
      </c>
      <c r="AZ65" s="3">
        <f>SUM(AZ5:AZ64)</f>
        <v>-3.0213155964771374</v>
      </c>
      <c r="BA65" s="3">
        <f>SUM(BA5:BA64)</f>
        <v>-0.73495701797328694</v>
      </c>
      <c r="BB65" s="3">
        <f>AVERAGE(BB5:BB64)</f>
        <v>8.7217468765167148</v>
      </c>
      <c r="BG65" s="3">
        <f>SUM(BG5:BG64)</f>
        <v>826</v>
      </c>
      <c r="BQ65" s="3">
        <f>SUM(BQ5:BQ64)</f>
        <v>-3.3477744147359805</v>
      </c>
      <c r="BR65" s="3">
        <f>SUM(BR5:BR64)</f>
        <v>-0.81437050256204135</v>
      </c>
      <c r="BS65" s="3">
        <f>AVERAGE(BS5:BS64)</f>
        <v>8.9298827999525674</v>
      </c>
    </row>
    <row r="66" spans="3:71" x14ac:dyDescent="0.25">
      <c r="AO66" s="2">
        <f t="shared" si="25"/>
        <v>0</v>
      </c>
      <c r="AZ66">
        <f>STDEV(AZ5:AZ64)</f>
        <v>6.6121493187806427E-2</v>
      </c>
      <c r="BA66">
        <f>STDEV(BA5:BA64)</f>
        <v>1.6084534668908728E-2</v>
      </c>
      <c r="BB66">
        <f>STDEV(BB5:BB64)</f>
        <v>5.3740423747286749E-15</v>
      </c>
      <c r="BQ66">
        <f>STDEV(BQ5:BQ64)</f>
        <v>5.7973421649419661E-2</v>
      </c>
      <c r="BR66">
        <f>STDEV(BR5:BR64)</f>
        <v>1.4102456938575501E-2</v>
      </c>
      <c r="BS66">
        <f>STDEV(BS5:BS64)</f>
        <v>3.582694916485783E-15</v>
      </c>
    </row>
    <row r="70" spans="3:71" x14ac:dyDescent="0.25">
      <c r="BR70" s="3"/>
    </row>
    <row r="71" spans="3:71" x14ac:dyDescent="0.25">
      <c r="BA71" s="3"/>
      <c r="BB71" s="3"/>
    </row>
    <row r="72" spans="3:71" x14ac:dyDescent="0.25">
      <c r="C72" t="s">
        <v>337</v>
      </c>
      <c r="D72" t="s">
        <v>346</v>
      </c>
      <c r="E72" t="s">
        <v>342</v>
      </c>
      <c r="F72" t="s">
        <v>343</v>
      </c>
      <c r="G72" t="s">
        <v>344</v>
      </c>
      <c r="H72" t="s">
        <v>345</v>
      </c>
      <c r="K72" t="s">
        <v>341</v>
      </c>
      <c r="L72" t="s">
        <v>348</v>
      </c>
      <c r="BC72" s="3"/>
    </row>
    <row r="73" spans="3:71" x14ac:dyDescent="0.25">
      <c r="C73" s="17">
        <v>44075</v>
      </c>
      <c r="D73">
        <v>8.15</v>
      </c>
      <c r="E73">
        <v>29.09</v>
      </c>
      <c r="F73">
        <v>31.65</v>
      </c>
      <c r="G73">
        <v>2.6</v>
      </c>
      <c r="H73">
        <v>7.29</v>
      </c>
      <c r="K73">
        <v>2.68</v>
      </c>
      <c r="L73">
        <v>5.39</v>
      </c>
    </row>
    <row r="74" spans="3:71" x14ac:dyDescent="0.25">
      <c r="C74" s="17">
        <v>44105</v>
      </c>
      <c r="D74">
        <v>8.5299999999999994</v>
      </c>
      <c r="E74">
        <v>29.08</v>
      </c>
      <c r="F74">
        <v>30</v>
      </c>
      <c r="G74">
        <v>3.1</v>
      </c>
      <c r="H74">
        <v>6.68</v>
      </c>
      <c r="K74">
        <v>2.95</v>
      </c>
      <c r="L74">
        <v>5.41</v>
      </c>
    </row>
    <row r="75" spans="3:71" x14ac:dyDescent="0.25">
      <c r="C75" s="17">
        <v>44136</v>
      </c>
      <c r="D75">
        <v>1.98</v>
      </c>
      <c r="E75">
        <v>29.44</v>
      </c>
      <c r="F75">
        <v>35.83</v>
      </c>
      <c r="G75">
        <v>1.34</v>
      </c>
      <c r="H75">
        <v>7.04</v>
      </c>
      <c r="K75">
        <v>3.08</v>
      </c>
      <c r="L75">
        <v>7.82</v>
      </c>
    </row>
    <row r="76" spans="3:71" x14ac:dyDescent="0.25">
      <c r="C76" s="17">
        <v>44166</v>
      </c>
      <c r="D76">
        <v>7.08</v>
      </c>
      <c r="E76">
        <v>28.97</v>
      </c>
      <c r="F76">
        <v>37.64</v>
      </c>
      <c r="G76">
        <v>2.88</v>
      </c>
      <c r="H76">
        <v>7</v>
      </c>
      <c r="K76">
        <v>3.1</v>
      </c>
      <c r="L76">
        <v>5.72</v>
      </c>
    </row>
    <row r="77" spans="3:71" x14ac:dyDescent="0.25">
      <c r="C77" s="17">
        <v>44197</v>
      </c>
      <c r="D77">
        <v>4.04</v>
      </c>
      <c r="E77">
        <v>27.58</v>
      </c>
      <c r="F77">
        <v>38.51</v>
      </c>
      <c r="G77">
        <v>1.63</v>
      </c>
      <c r="H77">
        <v>7</v>
      </c>
      <c r="K77">
        <v>3.43</v>
      </c>
      <c r="L77">
        <v>4.12</v>
      </c>
    </row>
    <row r="78" spans="3:71" x14ac:dyDescent="0.25">
      <c r="C78" s="17">
        <v>44228</v>
      </c>
      <c r="D78">
        <v>0.8367</v>
      </c>
      <c r="E78">
        <v>29.933</v>
      </c>
      <c r="F78">
        <v>35.707999999999998</v>
      </c>
      <c r="G78">
        <v>1.7649999999999999</v>
      </c>
      <c r="H78">
        <v>6.9924999999999997</v>
      </c>
      <c r="K78">
        <v>1.84</v>
      </c>
      <c r="L78">
        <v>14</v>
      </c>
    </row>
    <row r="79" spans="3:71" x14ac:dyDescent="0.25">
      <c r="C79" s="17">
        <v>44256</v>
      </c>
      <c r="D79">
        <v>1.5609999999999999</v>
      </c>
      <c r="E79">
        <v>28.692</v>
      </c>
      <c r="F79">
        <v>37.125</v>
      </c>
      <c r="G79">
        <v>1.4630000000000001</v>
      </c>
      <c r="H79">
        <v>7.5175000000000001</v>
      </c>
      <c r="K79">
        <v>2.96</v>
      </c>
      <c r="L79">
        <v>4.2060000000000004</v>
      </c>
    </row>
    <row r="80" spans="3:71" x14ac:dyDescent="0.25">
      <c r="C80" s="17">
        <v>44287</v>
      </c>
      <c r="D80">
        <v>1.4279999999999999</v>
      </c>
      <c r="E80">
        <v>29.716999999999999</v>
      </c>
      <c r="F80">
        <v>37.177999999999997</v>
      </c>
      <c r="G80">
        <v>2.4750000000000001</v>
      </c>
      <c r="H80">
        <v>7.5525000000000002</v>
      </c>
      <c r="K80">
        <v>3.32</v>
      </c>
      <c r="L80">
        <v>3.165</v>
      </c>
    </row>
    <row r="81" spans="3:11" x14ac:dyDescent="0.25">
      <c r="C81" s="17">
        <v>44317</v>
      </c>
      <c r="K81">
        <v>2.82</v>
      </c>
    </row>
    <row r="82" spans="3:11" x14ac:dyDescent="0.25">
      <c r="C82" s="17">
        <v>44348</v>
      </c>
      <c r="K82">
        <v>2.4900000000000002</v>
      </c>
    </row>
    <row r="83" spans="3:11" x14ac:dyDescent="0.25">
      <c r="C83" s="17">
        <v>44378</v>
      </c>
      <c r="K83">
        <v>1.55</v>
      </c>
    </row>
    <row r="84" spans="3:11" x14ac:dyDescent="0.25">
      <c r="C84" s="17">
        <v>44409</v>
      </c>
      <c r="K84">
        <v>1.1299999999999999</v>
      </c>
    </row>
  </sheetData>
  <mergeCells count="1">
    <mergeCell ref="Y4:AA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255B-CA83-45E1-B05A-081DE2EC77EE}">
  <dimension ref="A1:M58"/>
  <sheetViews>
    <sheetView zoomScale="70" zoomScaleNormal="70" workbookViewId="0">
      <selection activeCell="M35" sqref="M35"/>
    </sheetView>
  </sheetViews>
  <sheetFormatPr defaultRowHeight="15" x14ac:dyDescent="0.25"/>
  <cols>
    <col min="1" max="1" width="23.42578125" customWidth="1"/>
    <col min="2" max="2" width="15.85546875" customWidth="1"/>
    <col min="3" max="3" width="14.5703125" customWidth="1"/>
    <col min="4" max="4" width="14.42578125" customWidth="1"/>
    <col min="5" max="5" width="15" customWidth="1"/>
    <col min="6" max="6" width="14" customWidth="1"/>
    <col min="7" max="7" width="14.85546875" customWidth="1"/>
    <col min="8" max="8" width="12.85546875" customWidth="1"/>
    <col min="9" max="9" width="11.42578125" customWidth="1"/>
    <col min="10" max="10" width="10.5703125" customWidth="1"/>
    <col min="11" max="11" width="9.85546875" customWidth="1"/>
    <col min="12" max="12" width="10.140625" customWidth="1"/>
    <col min="13" max="13" width="12.7109375" customWidth="1"/>
  </cols>
  <sheetData>
    <row r="1" spans="1:13" x14ac:dyDescent="0.25">
      <c r="C1" s="41" t="s">
        <v>678</v>
      </c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x14ac:dyDescent="0.25">
      <c r="B2" t="s">
        <v>113</v>
      </c>
      <c r="C2" t="s">
        <v>46</v>
      </c>
      <c r="D2" t="s">
        <v>220</v>
      </c>
      <c r="E2" t="s">
        <v>680</v>
      </c>
      <c r="F2" t="s">
        <v>681</v>
      </c>
      <c r="G2" t="s">
        <v>682</v>
      </c>
      <c r="H2" t="s">
        <v>267</v>
      </c>
      <c r="I2" t="s">
        <v>272</v>
      </c>
      <c r="J2" t="s">
        <v>372</v>
      </c>
      <c r="K2" t="s">
        <v>373</v>
      </c>
      <c r="L2" t="s">
        <v>381</v>
      </c>
      <c r="M2" t="s">
        <v>392</v>
      </c>
    </row>
    <row r="3" spans="1:13" x14ac:dyDescent="0.25">
      <c r="A3" s="1" t="s">
        <v>361</v>
      </c>
      <c r="B3">
        <v>3</v>
      </c>
      <c r="C3">
        <v>0.85</v>
      </c>
      <c r="D3">
        <v>7.67</v>
      </c>
      <c r="E3">
        <v>0.72</v>
      </c>
      <c r="F3">
        <v>3.75</v>
      </c>
      <c r="G3">
        <v>0.14000000000000001</v>
      </c>
      <c r="H3">
        <v>5.47</v>
      </c>
      <c r="I3">
        <v>4.04</v>
      </c>
      <c r="J3">
        <v>2.59</v>
      </c>
      <c r="K3">
        <v>1.42</v>
      </c>
      <c r="L3">
        <v>2.23</v>
      </c>
      <c r="M3">
        <v>53.16</v>
      </c>
    </row>
    <row r="4" spans="1:13" x14ac:dyDescent="0.25">
      <c r="A4" s="1" t="s">
        <v>683</v>
      </c>
      <c r="B4">
        <v>0</v>
      </c>
      <c r="C4">
        <v>0</v>
      </c>
      <c r="D4">
        <v>0.09</v>
      </c>
      <c r="E4">
        <v>0</v>
      </c>
      <c r="F4">
        <v>0.19</v>
      </c>
      <c r="G4">
        <v>0.19</v>
      </c>
      <c r="H4">
        <v>2.15</v>
      </c>
      <c r="I4">
        <v>0.4</v>
      </c>
      <c r="J4">
        <v>1.29</v>
      </c>
      <c r="K4">
        <v>0.92</v>
      </c>
      <c r="L4">
        <v>0.14000000000000001</v>
      </c>
      <c r="M4">
        <v>0.02</v>
      </c>
    </row>
    <row r="5" spans="1:13" x14ac:dyDescent="0.25">
      <c r="A5" s="1" t="s">
        <v>684</v>
      </c>
      <c r="B5">
        <v>0</v>
      </c>
      <c r="C5">
        <v>0</v>
      </c>
      <c r="D5">
        <v>0</v>
      </c>
      <c r="E5">
        <v>0</v>
      </c>
      <c r="G5">
        <v>0.2</v>
      </c>
      <c r="H5">
        <v>3.14</v>
      </c>
      <c r="I5">
        <v>1.75</v>
      </c>
      <c r="J5">
        <v>0.26</v>
      </c>
      <c r="K5">
        <v>0</v>
      </c>
      <c r="L5">
        <v>0</v>
      </c>
      <c r="M5">
        <v>0</v>
      </c>
    </row>
    <row r="6" spans="1:13" x14ac:dyDescent="0.25">
      <c r="A6" s="1" t="s">
        <v>328</v>
      </c>
      <c r="B6">
        <v>0</v>
      </c>
      <c r="C6">
        <v>0</v>
      </c>
      <c r="D6">
        <v>0.27</v>
      </c>
      <c r="E6">
        <v>0</v>
      </c>
      <c r="F6">
        <v>1.0900000000000001</v>
      </c>
      <c r="G6">
        <v>0.03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5">
      <c r="A7" s="1" t="s">
        <v>685</v>
      </c>
      <c r="B7">
        <v>0.25</v>
      </c>
      <c r="C7">
        <v>0</v>
      </c>
      <c r="D7">
        <v>0.37</v>
      </c>
      <c r="E7">
        <v>0</v>
      </c>
      <c r="F7">
        <v>0</v>
      </c>
      <c r="G7">
        <v>0</v>
      </c>
      <c r="H7">
        <v>0</v>
      </c>
      <c r="I7">
        <v>0</v>
      </c>
      <c r="J7">
        <v>0.26</v>
      </c>
      <c r="K7">
        <v>0</v>
      </c>
      <c r="L7">
        <v>0.02</v>
      </c>
      <c r="M7">
        <v>39.619999999999997</v>
      </c>
    </row>
    <row r="8" spans="1:13" x14ac:dyDescent="0.25">
      <c r="A8" s="1" t="s">
        <v>350</v>
      </c>
      <c r="B8">
        <v>0</v>
      </c>
      <c r="C8">
        <v>5.82</v>
      </c>
      <c r="D8">
        <v>0.37</v>
      </c>
      <c r="E8">
        <v>1.34</v>
      </c>
      <c r="F8">
        <v>3.87</v>
      </c>
      <c r="G8">
        <v>0.97</v>
      </c>
      <c r="H8">
        <v>1.9</v>
      </c>
      <c r="I8">
        <v>1.35</v>
      </c>
      <c r="J8">
        <v>2.33</v>
      </c>
      <c r="K8">
        <v>0.25</v>
      </c>
      <c r="L8">
        <v>0.08</v>
      </c>
      <c r="M8">
        <v>0.02</v>
      </c>
    </row>
    <row r="9" spans="1:13" x14ac:dyDescent="0.25">
      <c r="A9" s="1" t="s">
        <v>95</v>
      </c>
      <c r="B9">
        <v>0</v>
      </c>
      <c r="C9">
        <v>0</v>
      </c>
      <c r="D9">
        <v>0.82</v>
      </c>
      <c r="E9">
        <v>0.52</v>
      </c>
      <c r="F9">
        <v>0.12</v>
      </c>
      <c r="G9">
        <v>0.25</v>
      </c>
      <c r="H9">
        <v>2.6</v>
      </c>
      <c r="I9">
        <v>0.54</v>
      </c>
      <c r="J9">
        <v>5.17</v>
      </c>
      <c r="K9">
        <v>11.32</v>
      </c>
      <c r="L9">
        <v>0.35</v>
      </c>
      <c r="M9">
        <v>0.23</v>
      </c>
    </row>
    <row r="10" spans="1:13" x14ac:dyDescent="0.25">
      <c r="A10" s="1" t="s">
        <v>559</v>
      </c>
      <c r="B10">
        <v>0</v>
      </c>
      <c r="C10">
        <v>0</v>
      </c>
      <c r="D10">
        <v>3.56</v>
      </c>
      <c r="E10">
        <v>0.83</v>
      </c>
      <c r="F10">
        <v>0.61</v>
      </c>
      <c r="H10">
        <v>1.79</v>
      </c>
      <c r="I10">
        <v>0.27</v>
      </c>
      <c r="J10">
        <v>0</v>
      </c>
      <c r="K10">
        <v>0</v>
      </c>
      <c r="L10">
        <v>0</v>
      </c>
      <c r="M10">
        <v>0.42</v>
      </c>
    </row>
    <row r="11" spans="1:13" x14ac:dyDescent="0.25">
      <c r="A11" s="1" t="s">
        <v>503</v>
      </c>
      <c r="B11">
        <v>0</v>
      </c>
      <c r="C11">
        <v>1.48</v>
      </c>
      <c r="D11">
        <v>1</v>
      </c>
      <c r="E11">
        <v>0.21</v>
      </c>
      <c r="F11">
        <v>4.24</v>
      </c>
      <c r="G11">
        <v>7.0000000000000007E-2</v>
      </c>
      <c r="H11">
        <v>0.09</v>
      </c>
      <c r="I11">
        <v>0</v>
      </c>
      <c r="J11">
        <v>0</v>
      </c>
      <c r="K11">
        <v>0</v>
      </c>
      <c r="L11">
        <v>0.04</v>
      </c>
      <c r="M11">
        <v>0.02</v>
      </c>
    </row>
    <row r="12" spans="1:13" x14ac:dyDescent="0.25">
      <c r="A12" s="1" t="s">
        <v>349</v>
      </c>
      <c r="B12">
        <v>0</v>
      </c>
      <c r="C12">
        <v>8.7799999999999994</v>
      </c>
      <c r="D12">
        <v>0.64</v>
      </c>
      <c r="E12">
        <v>0</v>
      </c>
      <c r="F12">
        <v>0.73</v>
      </c>
      <c r="G12">
        <v>0.26</v>
      </c>
      <c r="H12">
        <v>0.72</v>
      </c>
      <c r="I12">
        <v>0.27</v>
      </c>
      <c r="J12">
        <v>1.81</v>
      </c>
      <c r="K12">
        <v>0.25</v>
      </c>
      <c r="L12">
        <v>0.1</v>
      </c>
      <c r="M12">
        <v>0</v>
      </c>
    </row>
    <row r="13" spans="1:13" x14ac:dyDescent="0.25">
      <c r="A13" t="s">
        <v>306</v>
      </c>
      <c r="B13">
        <v>96.75</v>
      </c>
      <c r="C13">
        <v>83.07</v>
      </c>
      <c r="D13">
        <v>85.21</v>
      </c>
      <c r="E13">
        <v>96.38</v>
      </c>
      <c r="F13">
        <v>85.4</v>
      </c>
      <c r="G13">
        <v>97.89</v>
      </c>
      <c r="H13">
        <v>82.14</v>
      </c>
      <c r="I13">
        <v>91.38</v>
      </c>
      <c r="J13">
        <v>86.29</v>
      </c>
      <c r="K13">
        <v>85.84</v>
      </c>
      <c r="L13">
        <v>97.04</v>
      </c>
      <c r="M13">
        <v>6.51</v>
      </c>
    </row>
    <row r="14" spans="1:13" x14ac:dyDescent="0.25">
      <c r="B14">
        <f>SUM(B3:B13)</f>
        <v>100</v>
      </c>
      <c r="C14" s="36">
        <f t="shared" ref="C14:M14" si="0">SUM(C3:C13)</f>
        <v>100</v>
      </c>
      <c r="D14" s="36">
        <f t="shared" si="0"/>
        <v>100</v>
      </c>
      <c r="E14" s="36">
        <f t="shared" si="0"/>
        <v>100</v>
      </c>
      <c r="F14" s="36">
        <f t="shared" si="0"/>
        <v>100</v>
      </c>
      <c r="G14" s="36">
        <f t="shared" si="0"/>
        <v>100</v>
      </c>
      <c r="H14" s="36">
        <f t="shared" si="0"/>
        <v>100</v>
      </c>
      <c r="I14" s="36">
        <f t="shared" si="0"/>
        <v>100</v>
      </c>
      <c r="J14" s="36">
        <f t="shared" si="0"/>
        <v>100</v>
      </c>
      <c r="K14" s="36">
        <f t="shared" si="0"/>
        <v>100</v>
      </c>
      <c r="L14" s="36">
        <f t="shared" si="0"/>
        <v>100</v>
      </c>
      <c r="M14" s="36">
        <f t="shared" si="0"/>
        <v>100</v>
      </c>
    </row>
    <row r="46" spans="1:13" x14ac:dyDescent="0.25">
      <c r="B46" s="41" t="s">
        <v>679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13" x14ac:dyDescent="0.25">
      <c r="A47" s="36"/>
      <c r="B47" s="36" t="s">
        <v>113</v>
      </c>
      <c r="C47" s="36" t="s">
        <v>46</v>
      </c>
      <c r="D47" s="36" t="s">
        <v>220</v>
      </c>
      <c r="E47" s="36" t="s">
        <v>680</v>
      </c>
      <c r="F47" s="36" t="s">
        <v>681</v>
      </c>
      <c r="G47" s="36" t="s">
        <v>682</v>
      </c>
      <c r="H47" s="36" t="s">
        <v>267</v>
      </c>
      <c r="I47" s="36" t="s">
        <v>272</v>
      </c>
      <c r="J47" s="36" t="s">
        <v>372</v>
      </c>
      <c r="K47" s="36" t="s">
        <v>373</v>
      </c>
      <c r="L47" s="36" t="s">
        <v>381</v>
      </c>
      <c r="M47" s="36" t="s">
        <v>392</v>
      </c>
    </row>
    <row r="48" spans="1:13" x14ac:dyDescent="0.25">
      <c r="A48" s="1" t="s">
        <v>361</v>
      </c>
      <c r="B48" s="36">
        <v>3</v>
      </c>
      <c r="C48" s="36">
        <v>0.85</v>
      </c>
      <c r="D48" s="36">
        <v>7.71</v>
      </c>
      <c r="E48" s="36">
        <v>1.91</v>
      </c>
      <c r="F48" s="36">
        <v>0.66</v>
      </c>
      <c r="G48" s="36">
        <v>0.41</v>
      </c>
      <c r="H48" s="36">
        <v>1.0900000000000001</v>
      </c>
      <c r="I48" s="36">
        <v>56.75</v>
      </c>
      <c r="J48" s="36">
        <v>0.14000000000000001</v>
      </c>
      <c r="K48" s="36">
        <v>0.82</v>
      </c>
      <c r="L48" s="36"/>
      <c r="M48" s="36"/>
    </row>
    <row r="49" spans="1:13" x14ac:dyDescent="0.25">
      <c r="A49" s="1" t="s">
        <v>683</v>
      </c>
      <c r="B49" s="36">
        <v>0</v>
      </c>
      <c r="C49" s="36">
        <v>0</v>
      </c>
      <c r="D49" s="36">
        <v>0.09</v>
      </c>
      <c r="E49" s="36">
        <v>2.2000000000000002</v>
      </c>
      <c r="F49" s="36">
        <v>0.19</v>
      </c>
      <c r="G49" s="36">
        <v>0.06</v>
      </c>
      <c r="H49" s="36">
        <v>6.11</v>
      </c>
      <c r="I49" s="36">
        <v>0.43</v>
      </c>
      <c r="J49" s="36">
        <v>0</v>
      </c>
      <c r="K49" s="36">
        <v>1.99</v>
      </c>
      <c r="L49" s="36"/>
      <c r="M49" s="36"/>
    </row>
    <row r="50" spans="1:13" x14ac:dyDescent="0.25">
      <c r="A50" s="1" t="s">
        <v>684</v>
      </c>
      <c r="B50" s="36">
        <v>0</v>
      </c>
      <c r="C50" s="36">
        <v>0</v>
      </c>
      <c r="D50" s="36">
        <v>0</v>
      </c>
      <c r="E50" s="36">
        <v>0</v>
      </c>
      <c r="F50" s="36">
        <v>0</v>
      </c>
      <c r="G50" s="36">
        <v>27.19</v>
      </c>
      <c r="H50" s="36">
        <v>0</v>
      </c>
      <c r="I50" s="36">
        <v>0.15</v>
      </c>
      <c r="J50" s="36">
        <v>0</v>
      </c>
      <c r="K50" s="36">
        <v>1.18</v>
      </c>
      <c r="L50" s="36"/>
      <c r="M50" s="36"/>
    </row>
    <row r="51" spans="1:13" x14ac:dyDescent="0.25">
      <c r="A51" s="1" t="s">
        <v>328</v>
      </c>
      <c r="B51" s="36">
        <v>0</v>
      </c>
      <c r="C51" s="36">
        <v>0</v>
      </c>
      <c r="D51" s="36">
        <v>0.28000000000000003</v>
      </c>
      <c r="E51" s="36">
        <v>0</v>
      </c>
      <c r="F51" s="36">
        <v>24.2</v>
      </c>
      <c r="G51" s="36">
        <v>0.31</v>
      </c>
      <c r="H51" s="36">
        <v>0.71</v>
      </c>
      <c r="I51" s="36">
        <v>0</v>
      </c>
      <c r="J51" s="36">
        <v>0</v>
      </c>
      <c r="K51" s="36">
        <v>0</v>
      </c>
      <c r="L51" s="36"/>
      <c r="M51" s="36"/>
    </row>
    <row r="52" spans="1:13" x14ac:dyDescent="0.25">
      <c r="A52" s="1" t="s">
        <v>685</v>
      </c>
      <c r="B52" s="36">
        <v>0.25</v>
      </c>
      <c r="C52" s="36">
        <v>0</v>
      </c>
      <c r="D52" s="36">
        <v>0.37</v>
      </c>
      <c r="E52" s="36">
        <v>0.1</v>
      </c>
      <c r="F52" s="36">
        <v>0</v>
      </c>
      <c r="G52" s="36">
        <v>0</v>
      </c>
      <c r="H52" s="36">
        <v>7.0000000000000007E-2</v>
      </c>
      <c r="I52" s="36">
        <v>0.02</v>
      </c>
      <c r="J52" s="36">
        <v>0</v>
      </c>
      <c r="K52" s="36">
        <v>0</v>
      </c>
      <c r="L52" s="36"/>
      <c r="M52" s="36"/>
    </row>
    <row r="53" spans="1:13" x14ac:dyDescent="0.25">
      <c r="A53" s="1" t="s">
        <v>350</v>
      </c>
      <c r="B53" s="36">
        <v>0</v>
      </c>
      <c r="C53" s="36">
        <v>3.82</v>
      </c>
      <c r="D53" s="36">
        <v>0.37</v>
      </c>
      <c r="E53" s="36">
        <v>16.809999999999999</v>
      </c>
      <c r="F53" s="36">
        <v>36.71</v>
      </c>
      <c r="G53" s="36">
        <v>12.25</v>
      </c>
      <c r="H53" s="36">
        <v>15.73</v>
      </c>
      <c r="I53" s="36">
        <v>0.44</v>
      </c>
      <c r="J53" s="36">
        <v>2.25</v>
      </c>
      <c r="K53" s="36">
        <v>1.18</v>
      </c>
      <c r="L53" s="36">
        <v>1.63</v>
      </c>
      <c r="M53" s="36"/>
    </row>
    <row r="54" spans="1:13" x14ac:dyDescent="0.25">
      <c r="A54" s="1" t="s">
        <v>95</v>
      </c>
      <c r="B54" s="36">
        <v>0</v>
      </c>
      <c r="C54" s="36">
        <v>0</v>
      </c>
      <c r="D54" s="36">
        <v>0.83</v>
      </c>
      <c r="E54" s="36">
        <v>7.45</v>
      </c>
      <c r="F54" s="36">
        <v>5.57</v>
      </c>
      <c r="G54" s="36">
        <v>3.68</v>
      </c>
      <c r="H54" s="36">
        <v>4.75</v>
      </c>
      <c r="I54" s="36">
        <v>0.6</v>
      </c>
      <c r="J54" s="36">
        <v>37.68</v>
      </c>
      <c r="K54" s="36">
        <v>5.88</v>
      </c>
      <c r="L54" s="36"/>
      <c r="M54" s="36"/>
    </row>
    <row r="55" spans="1:13" x14ac:dyDescent="0.25">
      <c r="A55" s="1" t="s">
        <v>559</v>
      </c>
      <c r="B55" s="36">
        <v>0</v>
      </c>
      <c r="C55" s="36">
        <v>0</v>
      </c>
      <c r="D55" s="36">
        <v>3.58</v>
      </c>
      <c r="E55" s="36">
        <v>3.72</v>
      </c>
      <c r="F55" s="36">
        <v>0.11</v>
      </c>
      <c r="G55" s="36">
        <v>0.06</v>
      </c>
      <c r="H55" s="36">
        <v>0.04</v>
      </c>
      <c r="I55" s="36">
        <v>0.08</v>
      </c>
      <c r="J55" s="36">
        <v>0.14000000000000001</v>
      </c>
      <c r="K55" s="36">
        <v>0</v>
      </c>
      <c r="L55" s="36"/>
      <c r="M55" s="36"/>
    </row>
    <row r="56" spans="1:13" x14ac:dyDescent="0.25">
      <c r="A56" s="1" t="s">
        <v>503</v>
      </c>
      <c r="B56" s="36">
        <v>0</v>
      </c>
      <c r="C56" s="36">
        <v>1.48</v>
      </c>
      <c r="D56" s="36">
        <v>1.01</v>
      </c>
      <c r="E56" s="36">
        <v>0.28999999999999998</v>
      </c>
      <c r="F56" s="36">
        <v>2.42</v>
      </c>
      <c r="G56" s="36">
        <v>0.16</v>
      </c>
      <c r="H56" s="36">
        <v>0.54</v>
      </c>
      <c r="I56" s="36">
        <v>0.23</v>
      </c>
      <c r="J56" s="36">
        <v>0</v>
      </c>
      <c r="K56" s="36">
        <v>1.06</v>
      </c>
      <c r="L56" s="36">
        <v>0.14000000000000001</v>
      </c>
      <c r="M56" s="36"/>
    </row>
    <row r="57" spans="1:13" x14ac:dyDescent="0.25">
      <c r="A57" s="1" t="s">
        <v>349</v>
      </c>
      <c r="B57" s="36">
        <v>0</v>
      </c>
      <c r="C57" s="36">
        <v>5.78</v>
      </c>
      <c r="D57" s="36">
        <v>0.64</v>
      </c>
      <c r="E57" s="36">
        <v>0</v>
      </c>
      <c r="F57" s="36">
        <v>0</v>
      </c>
      <c r="G57" s="36">
        <v>0.04</v>
      </c>
      <c r="H57" s="36">
        <v>0.27</v>
      </c>
      <c r="I57" s="36">
        <v>0</v>
      </c>
      <c r="J57" s="36">
        <v>7.0000000000000007E-2</v>
      </c>
      <c r="K57" s="36">
        <v>0</v>
      </c>
      <c r="L57" s="36"/>
      <c r="M57" s="36"/>
    </row>
    <row r="58" spans="1:13" x14ac:dyDescent="0.25">
      <c r="A58" s="36" t="s">
        <v>306</v>
      </c>
      <c r="B58" s="36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/>
      <c r="J58" s="36">
        <v>0</v>
      </c>
      <c r="K58" s="36">
        <v>0</v>
      </c>
      <c r="L58" s="36"/>
      <c r="M58" s="36"/>
    </row>
  </sheetData>
  <mergeCells count="2">
    <mergeCell ref="C1:M1"/>
    <mergeCell ref="B46:M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CEF8-82AB-40B9-AA84-6873771346ED}">
  <dimension ref="A1:FI73"/>
  <sheetViews>
    <sheetView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20.5703125" customWidth="1"/>
    <col min="3" max="3" width="10.85546875" customWidth="1"/>
    <col min="4" max="4" width="9.42578125" customWidth="1"/>
    <col min="6" max="6" width="11.85546875" bestFit="1" customWidth="1"/>
    <col min="10" max="10" width="11.85546875" bestFit="1" customWidth="1"/>
    <col min="13" max="13" width="23.5703125" customWidth="1"/>
    <col min="14" max="14" width="10.5703125" customWidth="1"/>
    <col min="15" max="18" width="9.5703125" customWidth="1"/>
    <col min="21" max="21" width="11.85546875" bestFit="1" customWidth="1"/>
    <col min="23" max="23" width="13.42578125" customWidth="1"/>
    <col min="24" max="24" width="35.42578125" customWidth="1"/>
    <col min="25" max="25" width="11" customWidth="1"/>
    <col min="28" max="28" width="8.7109375" customWidth="1"/>
    <col min="29" max="29" width="12.42578125" customWidth="1"/>
    <col min="36" max="36" width="11.85546875" bestFit="1" customWidth="1"/>
    <col min="38" max="38" width="14.5703125" customWidth="1"/>
    <col min="39" max="39" width="27.5703125" customWidth="1"/>
    <col min="48" max="48" width="11.85546875" bestFit="1" customWidth="1"/>
    <col min="55" max="55" width="16" customWidth="1"/>
    <col min="56" max="56" width="20.42578125" style="27" customWidth="1"/>
    <col min="57" max="57" width="11" style="9" customWidth="1"/>
    <col min="58" max="61" width="10.42578125" customWidth="1"/>
    <col min="62" max="62" width="8.85546875" bestFit="1" customWidth="1"/>
    <col min="63" max="63" width="9.85546875" bestFit="1" customWidth="1"/>
    <col min="64" max="64" width="15" bestFit="1" customWidth="1"/>
    <col min="65" max="65" width="11.85546875" customWidth="1"/>
    <col min="67" max="67" width="12.42578125" customWidth="1"/>
    <col min="68" max="68" width="30.5703125" customWidth="1"/>
    <col min="69" max="75" width="8.85546875" bestFit="1" customWidth="1"/>
    <col min="76" max="76" width="15" bestFit="1" customWidth="1"/>
    <col min="77" max="78" width="8.85546875" bestFit="1" customWidth="1"/>
    <col min="79" max="79" width="9.85546875" bestFit="1" customWidth="1"/>
    <col min="80" max="80" width="15" bestFit="1" customWidth="1"/>
    <col min="83" max="83" width="26.5703125" customWidth="1"/>
    <col min="84" max="90" width="8.85546875" bestFit="1" customWidth="1"/>
    <col min="91" max="91" width="15" bestFit="1" customWidth="1"/>
    <col min="92" max="93" width="8.85546875" bestFit="1" customWidth="1"/>
    <col min="94" max="94" width="9.85546875" bestFit="1" customWidth="1"/>
    <col min="95" max="95" width="8.85546875" bestFit="1" customWidth="1"/>
    <col min="98" max="98" width="10.5703125" customWidth="1"/>
    <col min="99" max="99" width="29.7109375" customWidth="1"/>
    <col min="100" max="105" width="8.85546875" bestFit="1" customWidth="1"/>
    <col min="106" max="106" width="15.42578125" customWidth="1"/>
    <col min="107" max="107" width="12.140625" bestFit="1" customWidth="1"/>
    <col min="108" max="110" width="8.85546875" bestFit="1" customWidth="1"/>
    <col min="111" max="111" width="11.85546875" bestFit="1" customWidth="1"/>
    <col min="114" max="114" width="22.28515625" customWidth="1"/>
    <col min="115" max="117" width="8.85546875" bestFit="1" customWidth="1"/>
    <col min="118" max="118" width="11.140625" bestFit="1" customWidth="1"/>
    <col min="119" max="121" width="8.85546875" bestFit="1" customWidth="1"/>
    <col min="122" max="122" width="11.85546875" bestFit="1" customWidth="1"/>
    <col min="125" max="125" width="20.42578125" customWidth="1"/>
    <col min="126" max="126" width="10.140625" customWidth="1"/>
    <col min="136" max="136" width="9.85546875" bestFit="1" customWidth="1"/>
    <col min="139" max="139" width="20.140625" customWidth="1"/>
    <col min="150" max="150" width="11.85546875" bestFit="1" customWidth="1"/>
    <col min="153" max="153" width="23.42578125" customWidth="1"/>
    <col min="165" max="165" width="11.85546875" bestFit="1" customWidth="1"/>
  </cols>
  <sheetData>
    <row r="1" spans="1:165" x14ac:dyDescent="0.25">
      <c r="B1" s="3" t="s">
        <v>113</v>
      </c>
      <c r="M1" s="3" t="s">
        <v>46</v>
      </c>
      <c r="X1" s="3" t="s">
        <v>220</v>
      </c>
      <c r="AM1" s="3" t="s">
        <v>1</v>
      </c>
      <c r="AN1" s="3"/>
      <c r="BD1" s="14" t="s">
        <v>100</v>
      </c>
      <c r="BP1" s="3" t="s">
        <v>169</v>
      </c>
      <c r="CE1" t="s">
        <v>267</v>
      </c>
      <c r="CU1" s="3" t="s">
        <v>272</v>
      </c>
      <c r="DJ1" s="3" t="s">
        <v>372</v>
      </c>
      <c r="DU1" s="3" t="s">
        <v>373</v>
      </c>
      <c r="EI1" s="3" t="s">
        <v>381</v>
      </c>
      <c r="EW1" s="3" t="s">
        <v>392</v>
      </c>
    </row>
    <row r="2" spans="1:165" x14ac:dyDescent="0.25">
      <c r="AM2" s="3"/>
      <c r="AN2" s="3"/>
    </row>
    <row r="3" spans="1:165" x14ac:dyDescent="0.25">
      <c r="A3" t="s">
        <v>687</v>
      </c>
      <c r="B3" s="3" t="s">
        <v>0</v>
      </c>
      <c r="C3" s="3" t="s">
        <v>2</v>
      </c>
      <c r="D3" s="3" t="s">
        <v>48</v>
      </c>
      <c r="E3" t="s">
        <v>308</v>
      </c>
      <c r="F3" t="s">
        <v>317</v>
      </c>
      <c r="G3" t="s">
        <v>318</v>
      </c>
      <c r="H3" t="s">
        <v>312</v>
      </c>
      <c r="I3" t="s">
        <v>564</v>
      </c>
      <c r="M3" t="s">
        <v>47</v>
      </c>
      <c r="N3" t="s">
        <v>2</v>
      </c>
      <c r="O3" t="s">
        <v>48</v>
      </c>
      <c r="P3" t="s">
        <v>308</v>
      </c>
      <c r="Q3" t="s">
        <v>317</v>
      </c>
      <c r="R3" t="s">
        <v>318</v>
      </c>
      <c r="S3" t="s">
        <v>312</v>
      </c>
      <c r="T3" t="s">
        <v>564</v>
      </c>
      <c r="X3" s="13" t="s">
        <v>180</v>
      </c>
      <c r="Y3" s="42" t="s">
        <v>181</v>
      </c>
      <c r="Z3" s="42"/>
      <c r="AA3" s="42"/>
      <c r="AB3" s="13"/>
      <c r="AC3" s="14" t="s">
        <v>182</v>
      </c>
      <c r="AD3" t="s">
        <v>221</v>
      </c>
      <c r="AE3" t="s">
        <v>308</v>
      </c>
      <c r="AF3" t="s">
        <v>317</v>
      </c>
      <c r="AG3" t="s">
        <v>318</v>
      </c>
      <c r="AH3" t="s">
        <v>312</v>
      </c>
      <c r="AI3" t="s">
        <v>564</v>
      </c>
      <c r="AM3" s="3" t="s">
        <v>0</v>
      </c>
      <c r="AN3" s="3" t="s">
        <v>2</v>
      </c>
      <c r="AP3" t="s">
        <v>3</v>
      </c>
      <c r="AU3" t="s">
        <v>308</v>
      </c>
      <c r="AV3" t="s">
        <v>317</v>
      </c>
      <c r="AW3" t="s">
        <v>318</v>
      </c>
      <c r="AX3" t="s">
        <v>312</v>
      </c>
      <c r="AY3" t="s">
        <v>564</v>
      </c>
      <c r="BD3" s="14" t="s">
        <v>0</v>
      </c>
      <c r="BE3" s="14" t="s">
        <v>133</v>
      </c>
      <c r="BF3" s="3" t="s">
        <v>48</v>
      </c>
      <c r="BG3" t="s">
        <v>308</v>
      </c>
      <c r="BH3" t="s">
        <v>317</v>
      </c>
      <c r="BI3" t="s">
        <v>318</v>
      </c>
      <c r="BJ3" t="s">
        <v>312</v>
      </c>
      <c r="BK3" t="s">
        <v>564</v>
      </c>
      <c r="BP3" s="3" t="s">
        <v>0</v>
      </c>
      <c r="BU3" s="3" t="s">
        <v>251</v>
      </c>
      <c r="BV3" t="s">
        <v>270</v>
      </c>
      <c r="BW3" t="s">
        <v>308</v>
      </c>
      <c r="BX3" t="s">
        <v>317</v>
      </c>
      <c r="BY3" t="s">
        <v>318</v>
      </c>
      <c r="BZ3" t="s">
        <v>312</v>
      </c>
      <c r="CA3" t="s">
        <v>564</v>
      </c>
      <c r="CE3" s="3" t="s">
        <v>0</v>
      </c>
      <c r="CF3" s="3" t="s">
        <v>269</v>
      </c>
      <c r="CG3" s="3"/>
      <c r="CH3" s="3"/>
      <c r="CI3" s="3"/>
      <c r="CJ3" s="3" t="s">
        <v>271</v>
      </c>
      <c r="CK3" t="s">
        <v>270</v>
      </c>
      <c r="CL3" t="s">
        <v>308</v>
      </c>
      <c r="CM3" t="s">
        <v>317</v>
      </c>
      <c r="CN3" t="s">
        <v>318</v>
      </c>
      <c r="CO3" t="s">
        <v>312</v>
      </c>
      <c r="CP3" t="s">
        <v>564</v>
      </c>
      <c r="CU3" s="3" t="s">
        <v>0</v>
      </c>
      <c r="CV3" t="s">
        <v>269</v>
      </c>
      <c r="DA3" t="s">
        <v>307</v>
      </c>
      <c r="DB3" t="s">
        <v>308</v>
      </c>
      <c r="DC3" t="s">
        <v>311</v>
      </c>
      <c r="DD3" t="s">
        <v>310</v>
      </c>
      <c r="DE3" t="s">
        <v>312</v>
      </c>
      <c r="DF3" t="s">
        <v>564</v>
      </c>
      <c r="DJ3" s="3" t="s">
        <v>0</v>
      </c>
      <c r="DK3" t="s">
        <v>251</v>
      </c>
      <c r="DL3" t="s">
        <v>221</v>
      </c>
      <c r="DM3" t="s">
        <v>308</v>
      </c>
      <c r="DN3" t="s">
        <v>311</v>
      </c>
      <c r="DO3" t="s">
        <v>310</v>
      </c>
      <c r="DP3" t="s">
        <v>312</v>
      </c>
      <c r="DQ3" t="s">
        <v>564</v>
      </c>
      <c r="DU3" s="3" t="s">
        <v>0</v>
      </c>
      <c r="DV3" s="43" t="s">
        <v>379</v>
      </c>
      <c r="DW3" s="43"/>
      <c r="DX3" s="43"/>
      <c r="DY3" s="43"/>
      <c r="DZ3" s="3" t="s">
        <v>380</v>
      </c>
      <c r="EA3" t="s">
        <v>221</v>
      </c>
      <c r="EB3" t="s">
        <v>308</v>
      </c>
      <c r="EC3" t="s">
        <v>311</v>
      </c>
      <c r="ED3" t="s">
        <v>310</v>
      </c>
      <c r="EE3" t="s">
        <v>312</v>
      </c>
      <c r="EF3" t="s">
        <v>564</v>
      </c>
      <c r="EI3" s="3" t="s">
        <v>0</v>
      </c>
      <c r="EJ3" t="s">
        <v>280</v>
      </c>
      <c r="EM3" t="s">
        <v>380</v>
      </c>
      <c r="EN3" t="s">
        <v>221</v>
      </c>
      <c r="EO3" t="s">
        <v>308</v>
      </c>
      <c r="EP3" t="s">
        <v>311</v>
      </c>
      <c r="EQ3" t="s">
        <v>310</v>
      </c>
      <c r="ER3" t="s">
        <v>312</v>
      </c>
      <c r="ES3" t="s">
        <v>564</v>
      </c>
      <c r="EW3" s="3" t="s">
        <v>0</v>
      </c>
      <c r="FB3" t="s">
        <v>380</v>
      </c>
      <c r="FC3" t="s">
        <v>221</v>
      </c>
      <c r="FD3" t="s">
        <v>406</v>
      </c>
      <c r="FE3" t="s">
        <v>311</v>
      </c>
      <c r="FF3" t="s">
        <v>310</v>
      </c>
      <c r="FG3" t="s">
        <v>312</v>
      </c>
    </row>
    <row r="4" spans="1:165" x14ac:dyDescent="0.25">
      <c r="A4" t="s">
        <v>303</v>
      </c>
      <c r="B4" s="5" t="s">
        <v>114</v>
      </c>
      <c r="C4">
        <v>1</v>
      </c>
      <c r="D4">
        <f>(C4/C31)*100</f>
        <v>0.125</v>
      </c>
      <c r="E4">
        <f>C4/800</f>
        <v>1.25E-3</v>
      </c>
      <c r="F4">
        <f>E4^2</f>
        <v>1.5625000000000001E-6</v>
      </c>
      <c r="G4">
        <f>LN(E4)</f>
        <v>-6.6846117276679271</v>
      </c>
      <c r="H4">
        <f>E4*G4</f>
        <v>-8.3557646595849092E-3</v>
      </c>
      <c r="I4">
        <f>H4/LN(27)</f>
        <v>-2.5352482538721424E-3</v>
      </c>
      <c r="J4">
        <f>((27-1)/(LN(800)))</f>
        <v>3.8895303211680581</v>
      </c>
      <c r="L4" t="s">
        <v>303</v>
      </c>
      <c r="M4" t="s">
        <v>70</v>
      </c>
      <c r="N4">
        <v>10</v>
      </c>
      <c r="O4">
        <f>N4/N46*100</f>
        <v>1.0582010582010581</v>
      </c>
      <c r="P4">
        <f>N4/945</f>
        <v>1.0582010582010581E-2</v>
      </c>
      <c r="Q4">
        <f>P4^2</f>
        <v>1.1197894795778393E-4</v>
      </c>
      <c r="R4">
        <f>LN(P4)</f>
        <v>-4.5485998344996972</v>
      </c>
      <c r="S4">
        <f>P4*R4</f>
        <v>-4.8133331582007374E-2</v>
      </c>
      <c r="T4">
        <f>S4/LN(42)</f>
        <v>-1.2877898931076199E-2</v>
      </c>
      <c r="U4">
        <f>((42-1)/(LN(945)))</f>
        <v>5.9843662715141974</v>
      </c>
      <c r="W4" t="s">
        <v>315</v>
      </c>
      <c r="X4" t="s">
        <v>183</v>
      </c>
      <c r="Y4">
        <v>24</v>
      </c>
      <c r="Z4">
        <v>4</v>
      </c>
      <c r="AA4">
        <v>11</v>
      </c>
      <c r="AC4" s="9">
        <f>SUM(Y4:AA4)</f>
        <v>39</v>
      </c>
      <c r="AD4">
        <f>AC4/AC53*100</f>
        <v>3.5779816513761471</v>
      </c>
      <c r="AE4">
        <f>AC4/1095</f>
        <v>3.5616438356164383E-2</v>
      </c>
      <c r="AF4">
        <f>AE4^2</f>
        <v>1.2685306811784575E-3</v>
      </c>
      <c r="AG4">
        <f>LN(AE4)</f>
        <v>-3.3349479961209547</v>
      </c>
      <c r="AH4">
        <f>AE4*AG4</f>
        <v>-0.11877896972485592</v>
      </c>
      <c r="AI4">
        <f>AH4/LN(51)</f>
        <v>-3.0209622913149145E-2</v>
      </c>
      <c r="AJ4">
        <f>((51-1)/(LN(1095)))</f>
        <v>7.1443782399249294</v>
      </c>
      <c r="AL4" t="s">
        <v>303</v>
      </c>
      <c r="AM4" s="2" t="s">
        <v>135</v>
      </c>
      <c r="AN4">
        <v>8</v>
      </c>
      <c r="AO4">
        <f>AN4/AN51*100</f>
        <v>0.76408787010506207</v>
      </c>
      <c r="AP4">
        <v>2</v>
      </c>
      <c r="AQ4">
        <v>2</v>
      </c>
      <c r="AR4">
        <v>4</v>
      </c>
      <c r="AU4">
        <f>AN4/1048</f>
        <v>7.6335877862595417E-3</v>
      </c>
      <c r="AV4">
        <f>AU4^2</f>
        <v>5.827166249053085E-5</v>
      </c>
      <c r="AW4">
        <f>LN(AU4)</f>
        <v>-4.8751973232011512</v>
      </c>
      <c r="AX4">
        <f>AU4*AW4</f>
        <v>-3.7215246741993516E-2</v>
      </c>
      <c r="AY4">
        <f>AX4/LN(48)</f>
        <v>-9.613359429575483E-3</v>
      </c>
      <c r="AZ4">
        <f>((48-1)/(LN(1048)))</f>
        <v>6.7580791631521038</v>
      </c>
      <c r="BC4" t="s">
        <v>303</v>
      </c>
      <c r="BD4" s="27" t="s">
        <v>628</v>
      </c>
      <c r="BE4" s="9">
        <v>19</v>
      </c>
      <c r="BF4">
        <f>BE4/BE59*100</f>
        <v>0.69673634030069675</v>
      </c>
      <c r="BG4">
        <f>BE4/2727</f>
        <v>6.9673634030069671E-3</v>
      </c>
      <c r="BH4">
        <f>BG4^2</f>
        <v>4.8544152789560824E-5</v>
      </c>
      <c r="BI4">
        <f>LN(BG4)</f>
        <v>-4.9665184036791485</v>
      </c>
      <c r="BJ4">
        <f>BG4*BI4</f>
        <v>-3.4603538566154682E-2</v>
      </c>
      <c r="BK4">
        <f>BJ4/LN(55)</f>
        <v>-8.6350540288671514E-3</v>
      </c>
      <c r="BL4">
        <f>((55-1)/(LN(2727)))</f>
        <v>6.8259753385975239</v>
      </c>
      <c r="BO4" t="s">
        <v>303</v>
      </c>
      <c r="BP4" t="s">
        <v>161</v>
      </c>
      <c r="BQ4">
        <v>573</v>
      </c>
      <c r="BR4">
        <v>19</v>
      </c>
      <c r="BS4">
        <v>31</v>
      </c>
      <c r="BT4">
        <v>1</v>
      </c>
      <c r="BU4">
        <f>SUM(BQ4:BT4)</f>
        <v>624</v>
      </c>
      <c r="BV4">
        <f>BU4/BU67*100</f>
        <v>12.206572769953052</v>
      </c>
      <c r="BW4">
        <f>BU4/5112</f>
        <v>0.12206572769953052</v>
      </c>
      <c r="BX4">
        <f>BW4^2</f>
        <v>1.4900041878815931E-2</v>
      </c>
      <c r="BY4">
        <f>LN(BW4)</f>
        <v>-2.1031956276879429</v>
      </c>
      <c r="BZ4">
        <f>BW4*BY4</f>
        <v>-0.25672810478819957</v>
      </c>
      <c r="CA4">
        <f>BZ4/LN(63)</f>
        <v>-6.1964701063872279E-2</v>
      </c>
      <c r="CB4">
        <f>((63-1)/(LN(5112)))</f>
        <v>7.2605091805186834</v>
      </c>
      <c r="CD4" t="s">
        <v>303</v>
      </c>
      <c r="CE4" t="s">
        <v>161</v>
      </c>
      <c r="CG4">
        <v>4</v>
      </c>
      <c r="CJ4">
        <f>SUM(CF4:CI4)</f>
        <v>4</v>
      </c>
      <c r="CK4">
        <f>CJ4/CJ56*100</f>
        <v>7.1684587813620068E-2</v>
      </c>
      <c r="CL4">
        <f>CJ4/5580</f>
        <v>7.1684587813620072E-4</v>
      </c>
      <c r="CM4">
        <f>CL4^2</f>
        <v>5.1386801300086077E-7</v>
      </c>
      <c r="CN4">
        <f>LN(CL4)</f>
        <v>-7.2406496942554659</v>
      </c>
      <c r="CO4">
        <f>CL4*CN4</f>
        <v>-5.1904298883551723E-3</v>
      </c>
      <c r="CP4">
        <f>CO4/LN(52)</f>
        <v>-1.3136192697874472E-3</v>
      </c>
      <c r="CQ4">
        <f>((52-1)/(LN(5580)))</f>
        <v>5.9117109920543012</v>
      </c>
      <c r="CT4" t="s">
        <v>303</v>
      </c>
      <c r="CU4" t="s">
        <v>87</v>
      </c>
      <c r="CV4">
        <v>25</v>
      </c>
      <c r="CW4">
        <v>13</v>
      </c>
      <c r="CX4">
        <v>21</v>
      </c>
      <c r="CY4">
        <v>27</v>
      </c>
      <c r="CZ4">
        <f>SUM(CV4:CY4)</f>
        <v>86</v>
      </c>
      <c r="DA4">
        <f>CZ4/CZ72*100</f>
        <v>1.4410187667560321</v>
      </c>
      <c r="DB4">
        <f>CZ4/CZ72</f>
        <v>1.4410187667560321E-2</v>
      </c>
      <c r="DC4" s="2">
        <f>DB4^2</f>
        <v>2.0765350861430757E-4</v>
      </c>
      <c r="DD4">
        <f>LN(DC4)</f>
        <v>-8.4796396912601786</v>
      </c>
      <c r="DE4">
        <f>DB4*DD4</f>
        <v>-0.12219319930435243</v>
      </c>
      <c r="DF4">
        <f>DE4/LN(68)</f>
        <v>-2.8959112731197757E-2</v>
      </c>
      <c r="DG4">
        <f>((68-1)/(LN(5968)))</f>
        <v>7.7063160745129649</v>
      </c>
      <c r="DI4" t="s">
        <v>303</v>
      </c>
      <c r="DJ4" t="s">
        <v>354</v>
      </c>
      <c r="DK4">
        <v>27</v>
      </c>
      <c r="DL4">
        <f>DK4/1380*100</f>
        <v>1.956521739130435</v>
      </c>
      <c r="DM4">
        <f>DK4/1380</f>
        <v>1.9565217391304349E-2</v>
      </c>
      <c r="DN4">
        <f>DM4^2</f>
        <v>3.8279773156899818E-4</v>
      </c>
      <c r="DO4">
        <f>LN(DM4)</f>
        <v>-3.9340019121469214</v>
      </c>
      <c r="DP4">
        <f>DM4*DO4</f>
        <v>-7.6969602628961506E-2</v>
      </c>
      <c r="DQ4">
        <f>DP4/LN(36)</f>
        <v>-2.1478776574325117E-2</v>
      </c>
      <c r="DR4">
        <f>((36-1)/(LN(780)))</f>
        <v>5.2558124663256702</v>
      </c>
      <c r="DT4" t="s">
        <v>303</v>
      </c>
      <c r="DU4" t="s">
        <v>354</v>
      </c>
      <c r="DV4">
        <v>14</v>
      </c>
      <c r="DW4">
        <v>14</v>
      </c>
      <c r="DX4">
        <v>57</v>
      </c>
      <c r="DY4">
        <v>23</v>
      </c>
      <c r="DZ4">
        <f>SUM(DV4:DY4)</f>
        <v>108</v>
      </c>
      <c r="EA4">
        <f>DZ4/851*100</f>
        <v>12.690951821386603</v>
      </c>
      <c r="EB4">
        <f>DZ4/851</f>
        <v>0.12690951821386603</v>
      </c>
      <c r="EC4">
        <f>EB4^2</f>
        <v>1.6106025813275596E-2</v>
      </c>
      <c r="ED4">
        <f>LN(EB4)</f>
        <v>-2.0642809014491545</v>
      </c>
      <c r="EE4">
        <f>EB4*ED4</f>
        <v>-0.26197689466099727</v>
      </c>
      <c r="EF4">
        <f>EC33</f>
        <v>4.9709956213813569E-5</v>
      </c>
      <c r="EH4" t="s">
        <v>303</v>
      </c>
      <c r="EI4" t="s">
        <v>354</v>
      </c>
      <c r="EJ4">
        <v>31</v>
      </c>
      <c r="EK4">
        <v>20</v>
      </c>
      <c r="EL4">
        <v>25</v>
      </c>
      <c r="EM4">
        <f>SUM(EJ4:EL4)</f>
        <v>76</v>
      </c>
      <c r="EN4">
        <f>EM4/739*100</f>
        <v>10.284167794316645</v>
      </c>
      <c r="EO4">
        <f>EM4/739</f>
        <v>0.10284167794316644</v>
      </c>
      <c r="EP4">
        <f>EO4^2</f>
        <v>1.0576410722165967E-2</v>
      </c>
      <c r="EQ4">
        <f>LN(EO4)</f>
        <v>-2.2745645806618708</v>
      </c>
      <c r="ER4">
        <f>EO4*EQ4</f>
        <v>-0.23392003806536155</v>
      </c>
      <c r="ES4">
        <f>ER4/LN(44)</f>
        <v>-6.1815094034585648E-2</v>
      </c>
      <c r="ET4">
        <f>((44-1)/(LN(739)))</f>
        <v>6.5099258980626384</v>
      </c>
      <c r="EV4" t="s">
        <v>303</v>
      </c>
      <c r="EW4" t="s">
        <v>354</v>
      </c>
      <c r="EX4">
        <v>9</v>
      </c>
      <c r="EY4">
        <v>5</v>
      </c>
      <c r="EZ4">
        <v>8</v>
      </c>
      <c r="FA4">
        <v>7</v>
      </c>
      <c r="FB4">
        <f>SUM(EX4:FA4)</f>
        <v>29</v>
      </c>
      <c r="FC4">
        <f>FB4/608*100</f>
        <v>4.7697368421052637</v>
      </c>
      <c r="FD4">
        <f>FB4/608</f>
        <v>4.7697368421052634E-2</v>
      </c>
      <c r="FE4">
        <f>FD4^2</f>
        <v>2.275038954293629E-3</v>
      </c>
      <c r="FF4">
        <f>LN(FD4)</f>
        <v>-3.0428790519796931</v>
      </c>
      <c r="FG4">
        <f>FD4*FF4</f>
        <v>-0.14513732320297879</v>
      </c>
      <c r="FH4">
        <f>FG4/LN(45)</f>
        <v>-3.812718453317248E-2</v>
      </c>
      <c r="FI4">
        <f>((45-1)/(LN(608)))</f>
        <v>6.8640873002990608</v>
      </c>
    </row>
    <row r="5" spans="1:165" x14ac:dyDescent="0.25">
      <c r="A5" t="s">
        <v>303</v>
      </c>
      <c r="B5" t="s">
        <v>115</v>
      </c>
      <c r="C5">
        <v>73</v>
      </c>
      <c r="D5">
        <f>(C5/C31)*100</f>
        <v>9.125</v>
      </c>
      <c r="E5">
        <f t="shared" ref="E5:E30" si="0">C5/800</f>
        <v>9.1249999999999998E-2</v>
      </c>
      <c r="F5">
        <f t="shared" ref="F5:F30" si="1">E5^2</f>
        <v>8.3265624999999989E-3</v>
      </c>
      <c r="G5">
        <f t="shared" ref="G5:G30" si="2">LN(E5)</f>
        <v>-2.3941522865195362</v>
      </c>
      <c r="H5">
        <f t="shared" ref="H5:H30" si="3">E5*G5</f>
        <v>-0.21846639614490768</v>
      </c>
      <c r="I5">
        <f t="shared" ref="I5:I30" si="4">H5/LN(27)</f>
        <v>-6.6285561156964351E-2</v>
      </c>
      <c r="J5">
        <f t="shared" ref="J5:J30" si="5">((27-1)/(LN(800)))</f>
        <v>3.8895303211680581</v>
      </c>
      <c r="L5" t="s">
        <v>303</v>
      </c>
      <c r="M5" t="s">
        <v>71</v>
      </c>
      <c r="N5">
        <v>47</v>
      </c>
      <c r="O5">
        <f>N5/N46*100</f>
        <v>4.9735449735449739</v>
      </c>
      <c r="P5">
        <f t="shared" ref="P5:P45" si="6">N5/945</f>
        <v>4.9735449735449737E-2</v>
      </c>
      <c r="Q5">
        <f t="shared" ref="Q5:Q45" si="7">P5^2</f>
        <v>2.4736149603874474E-3</v>
      </c>
      <c r="R5">
        <f t="shared" ref="R5:R45" si="8">LN(P5)</f>
        <v>-3.0010373257836842</v>
      </c>
      <c r="S5">
        <f t="shared" ref="S5:S45" si="9">P5*R5</f>
        <v>-0.14925794107072293</v>
      </c>
      <c r="T5">
        <f t="shared" ref="T5:T45" si="10">S5/LN(42)</f>
        <v>-3.993342277782002E-2</v>
      </c>
      <c r="U5">
        <f t="shared" ref="U5:U46" si="11">((42-1)/(LN(945)))</f>
        <v>5.9843662715141974</v>
      </c>
      <c r="W5" t="s">
        <v>303</v>
      </c>
      <c r="X5" t="s">
        <v>115</v>
      </c>
      <c r="Y5">
        <v>15</v>
      </c>
      <c r="Z5">
        <v>17</v>
      </c>
      <c r="AA5">
        <v>38</v>
      </c>
      <c r="AC5" s="9">
        <f>SUM(Y5:AA5)</f>
        <v>70</v>
      </c>
      <c r="AD5">
        <f>AC5/AC53*100</f>
        <v>6.4220183486238538</v>
      </c>
      <c r="AE5">
        <f>AC5/1095</f>
        <v>6.3926940639269403E-2</v>
      </c>
      <c r="AF5">
        <f t="shared" ref="AF5:AF52" si="12">AE5^2</f>
        <v>4.086653739496674E-3</v>
      </c>
      <c r="AG5">
        <f t="shared" ref="AG5:AG52" si="13">LN(AE5)</f>
        <v>-2.7500144002012421</v>
      </c>
      <c r="AH5">
        <f t="shared" ref="AH5:AH52" si="14">AE5*AG5</f>
        <v>-0.17580000731880085</v>
      </c>
      <c r="AI5">
        <f t="shared" ref="AI5:AI52" si="15">AH5/LN(51)</f>
        <v>-4.4712055859148225E-2</v>
      </c>
      <c r="AJ5">
        <f t="shared" ref="AJ5:AJ53" si="16">((51-1)/(LN(1095)))</f>
        <v>7.1443782399249294</v>
      </c>
      <c r="AL5" t="s">
        <v>303</v>
      </c>
      <c r="AM5" s="1" t="s">
        <v>134</v>
      </c>
      <c r="AN5">
        <v>16</v>
      </c>
      <c r="AO5">
        <f>AN5/AN51*100</f>
        <v>1.5281757402101241</v>
      </c>
      <c r="AP5">
        <v>5</v>
      </c>
      <c r="AQ5">
        <v>1</v>
      </c>
      <c r="AR5">
        <v>7</v>
      </c>
      <c r="AS5">
        <v>3</v>
      </c>
      <c r="AU5">
        <f t="shared" ref="AU5:AU50" si="17">AN5/1048</f>
        <v>1.5267175572519083E-2</v>
      </c>
      <c r="AV5">
        <f t="shared" ref="AV5:AV50" si="18">AU5^2</f>
        <v>2.330866499621234E-4</v>
      </c>
      <c r="AW5">
        <f t="shared" ref="AW5:AW50" si="19">LN(AU5)</f>
        <v>-4.1820501426412067</v>
      </c>
      <c r="AX5">
        <f t="shared" ref="AX5:AX50" si="20">AU5*AW5</f>
        <v>-6.3848093780781781E-2</v>
      </c>
      <c r="AY5">
        <f t="shared" ref="AY5:AY50" si="21">AX5/LN(48)</f>
        <v>-1.6493097000356446E-2</v>
      </c>
      <c r="AZ5">
        <f t="shared" ref="AZ5:AZ51" si="22">((48-1)/(LN(1048)))</f>
        <v>6.7580791631521038</v>
      </c>
      <c r="BC5" t="s">
        <v>315</v>
      </c>
      <c r="BD5" s="27" t="s">
        <v>629</v>
      </c>
      <c r="BE5" s="9">
        <v>41</v>
      </c>
      <c r="BF5">
        <f>BE5/BE59*100</f>
        <v>1.5034836817015034</v>
      </c>
      <c r="BG5">
        <f t="shared" ref="BG5:BG58" si="23">BE5/2727</f>
        <v>1.5034836817015035E-2</v>
      </c>
      <c r="BH5">
        <f t="shared" ref="BH5:BH58" si="24">BG5^2</f>
        <v>2.2604631811427078E-4</v>
      </c>
      <c r="BI5">
        <f t="shared" ref="BI5:BI58" si="25">LN(BG5)</f>
        <v>-4.1973853161412809</v>
      </c>
      <c r="BJ5">
        <f t="shared" ref="BJ5:BJ58" si="26">BG5*BI5</f>
        <v>-6.3107003286319227E-2</v>
      </c>
      <c r="BK5">
        <f t="shared" ref="BK5:BK58" si="27">BJ5/LN(55)</f>
        <v>-1.5747880290782036E-2</v>
      </c>
      <c r="BL5">
        <f t="shared" ref="BL5:BL59" si="28">((55-1)/(LN(2727)))</f>
        <v>6.8259753385975239</v>
      </c>
      <c r="BO5" t="s">
        <v>303</v>
      </c>
      <c r="BP5" t="s">
        <v>87</v>
      </c>
      <c r="BQ5">
        <v>31</v>
      </c>
      <c r="BR5">
        <v>5</v>
      </c>
      <c r="BS5">
        <v>6</v>
      </c>
      <c r="BT5">
        <v>5</v>
      </c>
      <c r="BU5">
        <f t="shared" ref="BU5:BU65" si="29">SUM(BQ5:BT5)</f>
        <v>47</v>
      </c>
      <c r="BV5">
        <f>BU5/BU67*100</f>
        <v>0.91940532081377158</v>
      </c>
      <c r="BW5">
        <f t="shared" ref="BW5:BW66" si="30">BU5/5112</f>
        <v>9.194053208137716E-3</v>
      </c>
      <c r="BX5">
        <f t="shared" ref="BX5:BX66" si="31">BW5^2</f>
        <v>8.4530614394067434E-5</v>
      </c>
      <c r="BY5">
        <f t="shared" ref="BY5:BY66" si="32">LN(BW5)</f>
        <v>-4.6891983943473123</v>
      </c>
      <c r="BZ5">
        <f t="shared" ref="BZ5:BZ66" si="33">BW5*BY5</f>
        <v>-4.3112739541143134E-2</v>
      </c>
      <c r="CA5">
        <f t="shared" ref="CA5:CA66" si="34">BZ5/LN(63)</f>
        <v>-1.0405826116760683E-2</v>
      </c>
      <c r="CB5">
        <f t="shared" ref="CB5:CB67" si="35">((63-1)/(LN(5112)))</f>
        <v>7.2605091805186834</v>
      </c>
      <c r="CD5" t="s">
        <v>303</v>
      </c>
      <c r="CE5" t="s">
        <v>87</v>
      </c>
      <c r="CF5">
        <v>11</v>
      </c>
      <c r="CG5">
        <v>7</v>
      </c>
      <c r="CH5">
        <v>10</v>
      </c>
      <c r="CI5">
        <v>12</v>
      </c>
      <c r="CJ5">
        <f t="shared" ref="CJ5:CJ55" si="36">SUM(CF5:CI5)</f>
        <v>40</v>
      </c>
      <c r="CK5">
        <f>CJ5/CJ56*100</f>
        <v>0.71684587813620071</v>
      </c>
      <c r="CL5">
        <f t="shared" ref="CL5:CL55" si="37">CJ5/5580</f>
        <v>7.1684587813620072E-3</v>
      </c>
      <c r="CM5">
        <f t="shared" ref="CM5:CM55" si="38">CL5^2</f>
        <v>5.138680130008607E-5</v>
      </c>
      <c r="CN5">
        <f t="shared" ref="CN5:CN54" si="39">LN(CL5)</f>
        <v>-4.93806460126142</v>
      </c>
      <c r="CO5">
        <f t="shared" ref="CO5:CO55" si="40">CL5*CN5</f>
        <v>-3.5398312553845304E-2</v>
      </c>
      <c r="CP5">
        <f t="shared" ref="CP5:CP55" si="41">CO5/LN(52)</f>
        <v>-8.9587773053275439E-3</v>
      </c>
      <c r="CQ5">
        <f t="shared" ref="CQ5:CQ56" si="42">((52-1)/(LN(5580)))</f>
        <v>5.9117109920543012</v>
      </c>
      <c r="CT5" t="s">
        <v>303</v>
      </c>
      <c r="CU5" s="1" t="s">
        <v>239</v>
      </c>
      <c r="CV5">
        <v>1</v>
      </c>
      <c r="CW5">
        <v>2</v>
      </c>
      <c r="CX5">
        <v>4</v>
      </c>
      <c r="CY5">
        <v>7</v>
      </c>
      <c r="CZ5">
        <f t="shared" ref="CZ5:CZ66" si="43">SUM(CV5:CY5)</f>
        <v>14</v>
      </c>
      <c r="DA5">
        <f>CZ5/CZ72*100</f>
        <v>0.23458445040214476</v>
      </c>
      <c r="DB5">
        <f>CZ5/CZ72</f>
        <v>2.3458445040214475E-3</v>
      </c>
      <c r="DC5" s="2">
        <f t="shared" ref="DC5:DC68" si="44">DB5^2</f>
        <v>5.5029864370476315E-6</v>
      </c>
      <c r="DD5">
        <f t="shared" ref="DD5:DD68" si="45">LN(DC5)</f>
        <v>-12.110219624536676</v>
      </c>
      <c r="DE5">
        <f t="shared" ref="DE5:DE68" si="46">DB5*DD5</f>
        <v>-2.8408692148712038E-2</v>
      </c>
      <c r="DF5">
        <f t="shared" ref="DF5:DF68" si="47">DE5/LN(68)</f>
        <v>-6.7327029913614913E-3</v>
      </c>
      <c r="DG5">
        <f t="shared" ref="DG5:DG68" si="48">((68-1)/(LN(5968)))</f>
        <v>7.7063160745129649</v>
      </c>
      <c r="DI5" t="s">
        <v>315</v>
      </c>
      <c r="DJ5" t="s">
        <v>350</v>
      </c>
      <c r="DK5">
        <v>31</v>
      </c>
      <c r="DL5">
        <f t="shared" ref="DL5:DL39" si="49">DK5/1380*100</f>
        <v>2.2463768115942031</v>
      </c>
      <c r="DM5">
        <f t="shared" ref="DM5:DM39" si="50">DK5/1380</f>
        <v>2.2463768115942029E-2</v>
      </c>
      <c r="DN5">
        <f t="shared" ref="DN5:DN39" si="51">DM5^2</f>
        <v>5.0462087796681373E-4</v>
      </c>
      <c r="DO5">
        <f t="shared" ref="DO5:DO39" si="52">LN(DM5)</f>
        <v>-3.7958515736661043</v>
      </c>
      <c r="DP5">
        <f t="shared" ref="DP5:DP39" si="53">DM5*DO5</f>
        <v>-8.5269129553369002E-2</v>
      </c>
      <c r="DQ5">
        <f t="shared" ref="DQ5:DQ41" si="54">DP5/LN(36)</f>
        <v>-2.3794803660255125E-2</v>
      </c>
      <c r="DR5">
        <f t="shared" ref="DR5:DR40" si="55">((36-1)/(LN(780)))</f>
        <v>5.2558124663256702</v>
      </c>
      <c r="DT5" t="s">
        <v>303</v>
      </c>
      <c r="DU5" t="s">
        <v>239</v>
      </c>
      <c r="DV5">
        <v>4</v>
      </c>
      <c r="DW5">
        <v>1</v>
      </c>
      <c r="DX5">
        <v>3</v>
      </c>
      <c r="DY5">
        <v>1</v>
      </c>
      <c r="DZ5">
        <f t="shared" ref="DZ5:DZ42" si="56">SUM(DV5:DY5)</f>
        <v>9</v>
      </c>
      <c r="EA5">
        <f t="shared" ref="EA5:EA45" si="57">DZ5/851*100</f>
        <v>1.0575793184488838</v>
      </c>
      <c r="EB5">
        <f t="shared" ref="EB5:EB45" si="58">DZ5/851</f>
        <v>1.0575793184488837E-2</v>
      </c>
      <c r="EC5">
        <f t="shared" ref="EC5:EC45" si="59">EB5^2</f>
        <v>1.1184740148108055E-4</v>
      </c>
      <c r="ED5">
        <f t="shared" ref="ED5:ED45" si="60">LN(EB5)</f>
        <v>-4.5491875512371545</v>
      </c>
      <c r="EE5">
        <f t="shared" ref="EE5:EE45" si="61">EB5*ED5</f>
        <v>-4.811126669933536E-2</v>
      </c>
      <c r="EF5">
        <f>EE5/LN(42)</f>
        <v>-1.287199555145054E-2</v>
      </c>
      <c r="EH5" t="s">
        <v>303</v>
      </c>
      <c r="EI5" t="s">
        <v>239</v>
      </c>
      <c r="EJ5">
        <v>1</v>
      </c>
      <c r="EM5">
        <f t="shared" ref="EM5:EM47" si="62">SUM(EJ5:EL5)</f>
        <v>1</v>
      </c>
      <c r="EN5">
        <f t="shared" ref="EN5:EN47" si="63">EM5/739*100</f>
        <v>0.13531799729364005</v>
      </c>
      <c r="EO5">
        <f t="shared" ref="EO5:EO47" si="64">EM5/739</f>
        <v>1.3531799729364006E-3</v>
      </c>
      <c r="EP5">
        <f t="shared" ref="EP5:EP47" si="65">EO5^2</f>
        <v>1.831096039156158E-6</v>
      </c>
      <c r="EQ5">
        <f t="shared" ref="EQ5:EQ47" si="66">LN(EO5)</f>
        <v>-6.6052979209482015</v>
      </c>
      <c r="ER5">
        <f t="shared" ref="ER5:ER47" si="67">EO5*EQ5</f>
        <v>-8.9381568619055513E-3</v>
      </c>
      <c r="ES5">
        <f t="shared" ref="ES5:ES46" si="68">ER5/LN(44)</f>
        <v>-2.3619738244065537E-3</v>
      </c>
      <c r="ET5">
        <f t="shared" ref="ET5:ET48" si="69">((44-1)/(LN(739)))</f>
        <v>6.5099258980626384</v>
      </c>
      <c r="EV5" t="s">
        <v>315</v>
      </c>
      <c r="EW5" t="s">
        <v>350</v>
      </c>
      <c r="EX5">
        <v>3</v>
      </c>
      <c r="EY5">
        <v>3</v>
      </c>
      <c r="EZ5">
        <v>1</v>
      </c>
      <c r="FA5">
        <v>4</v>
      </c>
      <c r="FB5">
        <f t="shared" ref="FB5:FB48" si="70">SUM(EX5:FA5)</f>
        <v>11</v>
      </c>
      <c r="FC5">
        <f t="shared" ref="FC5:FC48" si="71">FB5/608*100</f>
        <v>1.8092105263157896</v>
      </c>
      <c r="FD5">
        <f t="shared" ref="FD5:FD48" si="72">FB5/608</f>
        <v>1.8092105263157895E-2</v>
      </c>
      <c r="FE5">
        <f t="shared" ref="FE5:FE48" si="73">FD5^2</f>
        <v>3.2732427285318561E-4</v>
      </c>
      <c r="FF5">
        <f t="shared" ref="FF5:FF48" si="74">LN(FD5)</f>
        <v>-4.0122796091677966</v>
      </c>
      <c r="FG5">
        <f t="shared" ref="FG5:FG48" si="75">FD5*FF5</f>
        <v>-7.2590585034285796E-2</v>
      </c>
      <c r="FH5">
        <f t="shared" ref="FH5:FH50" si="76">FG5/LN(45)</f>
        <v>-1.9069351493430049E-2</v>
      </c>
      <c r="FI5">
        <f t="shared" ref="FI5:FI49" si="77">((45-1)/(LN(608)))</f>
        <v>6.8640873002990608</v>
      </c>
    </row>
    <row r="6" spans="1:165" x14ac:dyDescent="0.25">
      <c r="A6" t="s">
        <v>303</v>
      </c>
      <c r="B6" t="s">
        <v>78</v>
      </c>
      <c r="C6">
        <v>43</v>
      </c>
      <c r="D6">
        <f>(C6/C31)*100</f>
        <v>5.375</v>
      </c>
      <c r="E6">
        <f t="shared" si="0"/>
        <v>5.3749999999999999E-2</v>
      </c>
      <c r="F6">
        <f t="shared" si="1"/>
        <v>2.8890624999999997E-3</v>
      </c>
      <c r="G6">
        <f t="shared" si="2"/>
        <v>-2.9234116119743647</v>
      </c>
      <c r="H6">
        <f t="shared" si="3"/>
        <v>-0.15713337414362211</v>
      </c>
      <c r="I6">
        <f t="shared" si="4"/>
        <v>-4.7676320319252022E-2</v>
      </c>
      <c r="J6">
        <f t="shared" si="5"/>
        <v>3.8895303211680581</v>
      </c>
      <c r="L6" t="s">
        <v>303</v>
      </c>
      <c r="M6" s="1" t="s">
        <v>49</v>
      </c>
      <c r="N6">
        <v>3</v>
      </c>
      <c r="O6">
        <f>N6/N46*100</f>
        <v>0.31746031746031744</v>
      </c>
      <c r="P6">
        <f t="shared" si="6"/>
        <v>3.1746031746031746E-3</v>
      </c>
      <c r="Q6">
        <f t="shared" si="7"/>
        <v>1.0078105316200555E-5</v>
      </c>
      <c r="R6">
        <f t="shared" si="8"/>
        <v>-5.7525726388256331</v>
      </c>
      <c r="S6">
        <f t="shared" si="9"/>
        <v>-1.8262135361351215E-2</v>
      </c>
      <c r="T6">
        <f t="shared" si="10"/>
        <v>-4.8859683242251416E-3</v>
      </c>
      <c r="U6">
        <f t="shared" si="11"/>
        <v>5.9843662715141974</v>
      </c>
      <c r="W6" t="s">
        <v>315</v>
      </c>
      <c r="X6" s="10" t="s">
        <v>167</v>
      </c>
      <c r="Y6">
        <v>30</v>
      </c>
      <c r="Z6">
        <v>25</v>
      </c>
      <c r="AA6">
        <v>8</v>
      </c>
      <c r="AC6" s="9">
        <f>SUM(Y6:AA6)</f>
        <v>63</v>
      </c>
      <c r="AD6">
        <f>AC6/AC53*100</f>
        <v>5.7798165137614683</v>
      </c>
      <c r="AE6">
        <f t="shared" ref="AE6:AE52" si="78">AC6/1095</f>
        <v>5.7534246575342465E-2</v>
      </c>
      <c r="AF6">
        <f t="shared" si="12"/>
        <v>3.3101895289923064E-3</v>
      </c>
      <c r="AG6">
        <f t="shared" si="13"/>
        <v>-2.8553749158590684</v>
      </c>
      <c r="AH6">
        <f t="shared" si="14"/>
        <v>-0.16428184447408339</v>
      </c>
      <c r="AI6">
        <f t="shared" si="15"/>
        <v>-4.1782586467410059E-2</v>
      </c>
      <c r="AJ6">
        <f t="shared" si="16"/>
        <v>7.1443782399249294</v>
      </c>
      <c r="AL6" t="s">
        <v>315</v>
      </c>
      <c r="AM6" s="19" t="s">
        <v>136</v>
      </c>
      <c r="AN6" s="20">
        <v>78</v>
      </c>
      <c r="AO6" s="20">
        <f>AN6/AN51*100</f>
        <v>7.4498567335243555</v>
      </c>
      <c r="AP6">
        <v>20</v>
      </c>
      <c r="AQ6">
        <v>5</v>
      </c>
      <c r="AR6">
        <v>20</v>
      </c>
      <c r="AS6">
        <v>31</v>
      </c>
      <c r="AT6">
        <v>2</v>
      </c>
      <c r="AU6">
        <f t="shared" si="17"/>
        <v>7.4427480916030533E-2</v>
      </c>
      <c r="AV6">
        <f t="shared" si="18"/>
        <v>5.5394499155060895E-3</v>
      </c>
      <c r="AW6">
        <f t="shared" si="19"/>
        <v>-2.5979300381913957</v>
      </c>
      <c r="AX6">
        <f t="shared" si="20"/>
        <v>-0.19335738833867258</v>
      </c>
      <c r="AY6">
        <f t="shared" si="21"/>
        <v>-4.9947648751343332E-2</v>
      </c>
      <c r="AZ6">
        <f t="shared" si="22"/>
        <v>6.7580791631521038</v>
      </c>
      <c r="BC6" t="s">
        <v>303</v>
      </c>
      <c r="BD6" s="26" t="s">
        <v>630</v>
      </c>
      <c r="BE6" s="9">
        <v>79</v>
      </c>
      <c r="BF6">
        <f>BE6/BE59*100</f>
        <v>2.8969563623028969</v>
      </c>
      <c r="BG6">
        <f t="shared" si="23"/>
        <v>2.8969563623028969E-2</v>
      </c>
      <c r="BH6">
        <f t="shared" si="24"/>
        <v>8.3923561650872333E-4</v>
      </c>
      <c r="BI6">
        <f t="shared" si="25"/>
        <v>-3.5415095303785669</v>
      </c>
      <c r="BJ6">
        <f t="shared" si="26"/>
        <v>-0.10259598566186534</v>
      </c>
      <c r="BK6">
        <f t="shared" si="27"/>
        <v>-2.5602060252924441E-2</v>
      </c>
      <c r="BL6">
        <f t="shared" si="28"/>
        <v>6.8259753385975239</v>
      </c>
      <c r="BO6" t="s">
        <v>315</v>
      </c>
      <c r="BP6" t="s">
        <v>162</v>
      </c>
      <c r="BQ6">
        <v>1350</v>
      </c>
      <c r="BR6">
        <v>10</v>
      </c>
      <c r="BS6">
        <v>30</v>
      </c>
      <c r="BU6">
        <f t="shared" si="29"/>
        <v>1390</v>
      </c>
      <c r="BV6" s="16">
        <f>BU6/BU67*100</f>
        <v>27.190923317683879</v>
      </c>
      <c r="BW6">
        <f t="shared" si="30"/>
        <v>0.27190923317683879</v>
      </c>
      <c r="BX6">
        <f t="shared" si="31"/>
        <v>7.3934631086816485E-2</v>
      </c>
      <c r="BY6">
        <f t="shared" si="32"/>
        <v>-1.3022869699326334</v>
      </c>
      <c r="BZ6">
        <f t="shared" si="33"/>
        <v>-0.35410385137057127</v>
      </c>
      <c r="CA6">
        <f t="shared" si="34"/>
        <v>-8.5467616854202177E-2</v>
      </c>
      <c r="CB6">
        <f t="shared" si="35"/>
        <v>7.2605091805186834</v>
      </c>
      <c r="CD6" t="s">
        <v>315</v>
      </c>
      <c r="CE6" t="s">
        <v>162</v>
      </c>
      <c r="CH6">
        <v>1</v>
      </c>
      <c r="CI6">
        <v>1</v>
      </c>
      <c r="CJ6">
        <f t="shared" si="36"/>
        <v>2</v>
      </c>
      <c r="CK6">
        <f>CJ6/CJ56*100</f>
        <v>3.5842293906810034E-2</v>
      </c>
      <c r="CL6">
        <f t="shared" si="37"/>
        <v>3.5842293906810036E-4</v>
      </c>
      <c r="CM6">
        <f t="shared" si="38"/>
        <v>1.2846700325021519E-7</v>
      </c>
      <c r="CN6">
        <f t="shared" si="39"/>
        <v>-7.9337968748154113</v>
      </c>
      <c r="CO6">
        <f t="shared" si="40"/>
        <v>-2.8436547938406492E-3</v>
      </c>
      <c r="CP6">
        <f t="shared" si="41"/>
        <v>-7.1968600176897611E-4</v>
      </c>
      <c r="CQ6">
        <f t="shared" si="42"/>
        <v>5.9117109920543012</v>
      </c>
      <c r="CT6" t="s">
        <v>304</v>
      </c>
      <c r="CU6" t="s">
        <v>84</v>
      </c>
      <c r="CV6">
        <v>6</v>
      </c>
      <c r="CW6">
        <v>5</v>
      </c>
      <c r="CX6">
        <v>10</v>
      </c>
      <c r="CY6">
        <v>5</v>
      </c>
      <c r="CZ6">
        <f t="shared" si="43"/>
        <v>26</v>
      </c>
      <c r="DA6">
        <f>CZ6/CZ72*100</f>
        <v>0.43565683646112602</v>
      </c>
      <c r="DB6">
        <f>CZ6/CZ72</f>
        <v>4.3565683646112604E-3</v>
      </c>
      <c r="DC6" s="2">
        <f t="shared" si="44"/>
        <v>1.8979687915531633E-5</v>
      </c>
      <c r="DD6">
        <f t="shared" si="45"/>
        <v>-10.87214120772423</v>
      </c>
      <c r="DE6">
        <f t="shared" si="46"/>
        <v>-4.7365226441157843E-2</v>
      </c>
      <c r="DF6">
        <f t="shared" si="47"/>
        <v>-1.1225296823858031E-2</v>
      </c>
      <c r="DG6">
        <f t="shared" si="48"/>
        <v>7.7063160745129649</v>
      </c>
      <c r="DI6" t="s">
        <v>315</v>
      </c>
      <c r="DJ6" t="s">
        <v>275</v>
      </c>
      <c r="DK6">
        <v>61</v>
      </c>
      <c r="DL6">
        <f t="shared" si="49"/>
        <v>4.4202898550724639</v>
      </c>
      <c r="DM6">
        <f t="shared" si="50"/>
        <v>4.4202898550724637E-2</v>
      </c>
      <c r="DN6">
        <f t="shared" si="51"/>
        <v>1.9538962402856543E-3</v>
      </c>
      <c r="DO6">
        <f t="shared" si="52"/>
        <v>-3.1189649139779392</v>
      </c>
      <c r="DP6">
        <f t="shared" si="53"/>
        <v>-0.13786728967583645</v>
      </c>
      <c r="DQ6">
        <f t="shared" si="54"/>
        <v>-3.847259971095169E-2</v>
      </c>
      <c r="DR6">
        <f t="shared" si="55"/>
        <v>5.2558124663256702</v>
      </c>
      <c r="DT6" t="s">
        <v>315</v>
      </c>
      <c r="DU6" t="s">
        <v>350</v>
      </c>
      <c r="DX6">
        <v>10</v>
      </c>
      <c r="DZ6">
        <f t="shared" si="56"/>
        <v>10</v>
      </c>
      <c r="EA6">
        <f t="shared" si="57"/>
        <v>1.1750881316098707</v>
      </c>
      <c r="EB6">
        <f t="shared" si="58"/>
        <v>1.1750881316098707E-2</v>
      </c>
      <c r="EC6">
        <f t="shared" si="59"/>
        <v>1.380832117050377E-4</v>
      </c>
      <c r="ED6">
        <f t="shared" si="60"/>
        <v>-4.4438270355793286</v>
      </c>
      <c r="EE6">
        <f t="shared" si="61"/>
        <v>-5.221888408436344E-2</v>
      </c>
      <c r="EF6">
        <f t="shared" ref="EF6:EF45" si="79">EE6/LN(42)</f>
        <v>-1.3970973739606887E-2</v>
      </c>
      <c r="EH6" t="s">
        <v>315</v>
      </c>
      <c r="EI6" t="s">
        <v>350</v>
      </c>
      <c r="EJ6">
        <v>1</v>
      </c>
      <c r="EK6">
        <v>8</v>
      </c>
      <c r="EL6">
        <v>3</v>
      </c>
      <c r="EM6">
        <f t="shared" si="62"/>
        <v>12</v>
      </c>
      <c r="EN6">
        <f t="shared" si="63"/>
        <v>1.6238159675236805</v>
      </c>
      <c r="EO6">
        <f t="shared" si="64"/>
        <v>1.6238159675236806E-2</v>
      </c>
      <c r="EP6">
        <f t="shared" si="65"/>
        <v>2.6367782963848668E-4</v>
      </c>
      <c r="EQ6">
        <f t="shared" si="66"/>
        <v>-4.1203912711602015</v>
      </c>
      <c r="ER6">
        <f t="shared" si="67"/>
        <v>-6.6907571385551312E-2</v>
      </c>
      <c r="ES6">
        <f t="shared" si="68"/>
        <v>-1.7680818843180766E-2</v>
      </c>
      <c r="ET6">
        <f t="shared" si="69"/>
        <v>6.5099258980626384</v>
      </c>
      <c r="EV6" t="s">
        <v>315</v>
      </c>
      <c r="EW6" t="s">
        <v>95</v>
      </c>
      <c r="EX6">
        <v>13</v>
      </c>
      <c r="EY6">
        <v>8</v>
      </c>
      <c r="EZ6">
        <v>1</v>
      </c>
      <c r="FB6">
        <f t="shared" si="70"/>
        <v>22</v>
      </c>
      <c r="FC6">
        <f t="shared" si="71"/>
        <v>3.6184210526315792</v>
      </c>
      <c r="FD6">
        <f t="shared" si="72"/>
        <v>3.6184210526315791E-2</v>
      </c>
      <c r="FE6">
        <f t="shared" si="73"/>
        <v>1.3092970914127425E-3</v>
      </c>
      <c r="FF6">
        <f t="shared" si="74"/>
        <v>-3.3191324286078512</v>
      </c>
      <c r="FG6">
        <f t="shared" si="75"/>
        <v>-0.1201001865614683</v>
      </c>
      <c r="FH6">
        <f t="shared" si="76"/>
        <v>-3.1549996061961016E-2</v>
      </c>
      <c r="FI6">
        <f t="shared" si="77"/>
        <v>6.8640873002990608</v>
      </c>
    </row>
    <row r="7" spans="1:165" x14ac:dyDescent="0.25">
      <c r="A7" t="s">
        <v>303</v>
      </c>
      <c r="B7" t="s">
        <v>104</v>
      </c>
      <c r="C7">
        <v>55</v>
      </c>
      <c r="D7">
        <f>(C7/C31)*100</f>
        <v>6.8750000000000009</v>
      </c>
      <c r="E7">
        <f t="shared" si="0"/>
        <v>6.8750000000000006E-2</v>
      </c>
      <c r="F7">
        <f t="shared" si="1"/>
        <v>4.7265625000000007E-3</v>
      </c>
      <c r="G7">
        <f t="shared" si="2"/>
        <v>-2.6772785424354564</v>
      </c>
      <c r="H7">
        <f t="shared" si="3"/>
        <v>-0.18406289979243765</v>
      </c>
      <c r="I7">
        <f t="shared" si="4"/>
        <v>-5.5847090519253836E-2</v>
      </c>
      <c r="J7">
        <f t="shared" si="5"/>
        <v>3.8895303211680581</v>
      </c>
      <c r="L7" t="s">
        <v>303</v>
      </c>
      <c r="M7" t="s">
        <v>72</v>
      </c>
      <c r="N7">
        <v>31</v>
      </c>
      <c r="O7">
        <f>N7/N46*100</f>
        <v>3.28042328042328</v>
      </c>
      <c r="P7">
        <f t="shared" si="6"/>
        <v>3.2804232804232801E-2</v>
      </c>
      <c r="Q7">
        <f t="shared" si="7"/>
        <v>1.0761176898743034E-3</v>
      </c>
      <c r="R7">
        <f t="shared" si="8"/>
        <v>-3.4171977230085968</v>
      </c>
      <c r="S7">
        <f t="shared" si="9"/>
        <v>-0.11209854964366825</v>
      </c>
      <c r="T7">
        <f t="shared" si="10"/>
        <v>-2.999156187998037E-2</v>
      </c>
      <c r="U7">
        <f t="shared" si="11"/>
        <v>5.9843662715141974</v>
      </c>
      <c r="W7" t="s">
        <v>303</v>
      </c>
      <c r="X7" s="10" t="s">
        <v>184</v>
      </c>
      <c r="Y7">
        <v>55</v>
      </c>
      <c r="Z7">
        <v>45</v>
      </c>
      <c r="AA7">
        <v>9</v>
      </c>
      <c r="AB7">
        <v>30</v>
      </c>
      <c r="AC7" s="9">
        <f>SUM(Y7:AB7)</f>
        <v>139</v>
      </c>
      <c r="AD7">
        <f>AC7/AC53*100</f>
        <v>12.752293577981652</v>
      </c>
      <c r="AE7">
        <f>AC7/1095</f>
        <v>0.12694063926940638</v>
      </c>
      <c r="AF7">
        <f t="shared" si="12"/>
        <v>1.6113925898125558E-2</v>
      </c>
      <c r="AG7">
        <f t="shared" si="13"/>
        <v>-2.0640357091199095</v>
      </c>
      <c r="AH7">
        <f t="shared" si="14"/>
        <v>-0.26201001239056382</v>
      </c>
      <c r="AI7">
        <f t="shared" si="15"/>
        <v>-6.6638258372871809E-2</v>
      </c>
      <c r="AJ7">
        <f t="shared" si="16"/>
        <v>7.1443782399249294</v>
      </c>
      <c r="AL7" t="s">
        <v>315</v>
      </c>
      <c r="AM7" s="1" t="s">
        <v>137</v>
      </c>
      <c r="AN7">
        <v>18</v>
      </c>
      <c r="AO7">
        <f>AN7/AN51*100</f>
        <v>1.7191977077363898</v>
      </c>
      <c r="AP7">
        <v>12</v>
      </c>
      <c r="AQ7">
        <v>4</v>
      </c>
      <c r="AR7">
        <v>2</v>
      </c>
      <c r="AU7">
        <f t="shared" si="17"/>
        <v>1.717557251908397E-2</v>
      </c>
      <c r="AV7">
        <f t="shared" si="18"/>
        <v>2.9500029135831249E-4</v>
      </c>
      <c r="AW7">
        <f t="shared" si="19"/>
        <v>-4.0642671069848229</v>
      </c>
      <c r="AX7">
        <f t="shared" si="20"/>
        <v>-6.9806114432945432E-2</v>
      </c>
      <c r="AY7">
        <f t="shared" si="21"/>
        <v>-1.8032159589815303E-2</v>
      </c>
      <c r="AZ7">
        <f t="shared" si="22"/>
        <v>6.7580791631521038</v>
      </c>
      <c r="BC7" t="s">
        <v>303</v>
      </c>
      <c r="BD7" s="27" t="s">
        <v>631</v>
      </c>
      <c r="BE7" s="9">
        <v>67</v>
      </c>
      <c r="BF7">
        <f>BE7/BE59*100</f>
        <v>2.456912357902457</v>
      </c>
      <c r="BG7">
        <f t="shared" si="23"/>
        <v>2.456912357902457E-2</v>
      </c>
      <c r="BH7">
        <f t="shared" si="24"/>
        <v>6.0364183344138104E-4</v>
      </c>
      <c r="BI7">
        <f t="shared" si="25"/>
        <v>-3.7062647634546226</v>
      </c>
      <c r="BJ7">
        <f t="shared" si="26"/>
        <v>-9.105967698990089E-2</v>
      </c>
      <c r="BK7">
        <f t="shared" si="27"/>
        <v>-2.2723260777383646E-2</v>
      </c>
      <c r="BL7">
        <f t="shared" si="28"/>
        <v>6.8259753385975239</v>
      </c>
      <c r="BO7" t="s">
        <v>315</v>
      </c>
      <c r="BP7" t="s">
        <v>84</v>
      </c>
      <c r="BQ7">
        <v>440</v>
      </c>
      <c r="BR7">
        <v>50</v>
      </c>
      <c r="BS7">
        <v>61</v>
      </c>
      <c r="BT7">
        <v>75</v>
      </c>
      <c r="BU7">
        <f t="shared" si="29"/>
        <v>626</v>
      </c>
      <c r="BV7">
        <f>BU7/BU67*100</f>
        <v>12.245696400625979</v>
      </c>
      <c r="BW7">
        <f t="shared" si="30"/>
        <v>0.12245696400625979</v>
      </c>
      <c r="BX7">
        <f t="shared" si="31"/>
        <v>1.4995708033630404E-2</v>
      </c>
      <c r="BY7">
        <f t="shared" si="32"/>
        <v>-2.099995624957272</v>
      </c>
      <c r="BZ7">
        <f t="shared" si="33"/>
        <v>-0.25715908865869569</v>
      </c>
      <c r="CA7">
        <f t="shared" si="34"/>
        <v>-6.2068724683415899E-2</v>
      </c>
      <c r="CB7">
        <f t="shared" si="35"/>
        <v>7.2605091805186834</v>
      </c>
      <c r="CD7" t="s">
        <v>315</v>
      </c>
      <c r="CE7" t="s">
        <v>84</v>
      </c>
      <c r="CF7">
        <v>840</v>
      </c>
      <c r="CG7">
        <v>1</v>
      </c>
      <c r="CH7">
        <v>10</v>
      </c>
      <c r="CI7">
        <v>27</v>
      </c>
      <c r="CJ7">
        <f t="shared" si="36"/>
        <v>878</v>
      </c>
      <c r="CK7">
        <f>CJ7/CJ56*100</f>
        <v>15.734767025089605</v>
      </c>
      <c r="CL7">
        <f t="shared" si="37"/>
        <v>0.15734767025089605</v>
      </c>
      <c r="CM7">
        <f t="shared" si="38"/>
        <v>2.4758289333384718E-2</v>
      </c>
      <c r="CN7">
        <f t="shared" si="39"/>
        <v>-1.84929746174024</v>
      </c>
      <c r="CO7">
        <f t="shared" si="40"/>
        <v>-0.29098264720572231</v>
      </c>
      <c r="CP7">
        <f t="shared" si="41"/>
        <v>-7.364330523002785E-2</v>
      </c>
      <c r="CQ7">
        <f t="shared" si="42"/>
        <v>5.9117109920543012</v>
      </c>
      <c r="CT7" t="s">
        <v>304</v>
      </c>
      <c r="CU7" t="s">
        <v>224</v>
      </c>
      <c r="CW7">
        <v>3</v>
      </c>
      <c r="CX7">
        <v>1</v>
      </c>
      <c r="CY7">
        <v>10</v>
      </c>
      <c r="CZ7">
        <f t="shared" si="43"/>
        <v>14</v>
      </c>
      <c r="DA7">
        <f>CZ7/CZ72*100</f>
        <v>0.23458445040214476</v>
      </c>
      <c r="DB7">
        <f>CZ7/CZ72</f>
        <v>2.3458445040214475E-3</v>
      </c>
      <c r="DC7" s="2">
        <f t="shared" si="44"/>
        <v>5.5029864370476315E-6</v>
      </c>
      <c r="DD7">
        <f t="shared" si="45"/>
        <v>-12.110219624536676</v>
      </c>
      <c r="DE7">
        <f t="shared" si="46"/>
        <v>-2.8408692148712038E-2</v>
      </c>
      <c r="DF7">
        <f t="shared" si="47"/>
        <v>-6.7327029913614913E-3</v>
      </c>
      <c r="DG7">
        <f t="shared" si="48"/>
        <v>7.7063160745129649</v>
      </c>
      <c r="DI7" t="s">
        <v>315</v>
      </c>
      <c r="DJ7" t="s">
        <v>95</v>
      </c>
      <c r="DK7">
        <v>520</v>
      </c>
      <c r="DL7">
        <f t="shared" si="49"/>
        <v>37.681159420289859</v>
      </c>
      <c r="DM7">
        <f t="shared" si="50"/>
        <v>0.37681159420289856</v>
      </c>
      <c r="DN7">
        <f t="shared" si="51"/>
        <v>0.14198697752572989</v>
      </c>
      <c r="DO7">
        <f t="shared" si="52"/>
        <v>-0.97600996657577732</v>
      </c>
      <c r="DP7">
        <f t="shared" si="53"/>
        <v>-0.3677718714633364</v>
      </c>
      <c r="DQ7">
        <f t="shared" si="54"/>
        <v>-0.10262869480516372</v>
      </c>
      <c r="DR7">
        <f t="shared" si="55"/>
        <v>5.2558124663256702</v>
      </c>
      <c r="DT7" t="s">
        <v>315</v>
      </c>
      <c r="DU7" t="s">
        <v>95</v>
      </c>
      <c r="DW7">
        <v>3</v>
      </c>
      <c r="DX7">
        <v>38</v>
      </c>
      <c r="DY7">
        <v>9</v>
      </c>
      <c r="DZ7">
        <f t="shared" si="56"/>
        <v>50</v>
      </c>
      <c r="EA7">
        <f t="shared" si="57"/>
        <v>5.8754406580493539</v>
      </c>
      <c r="EB7">
        <f t="shared" si="58"/>
        <v>5.8754406580493537E-2</v>
      </c>
      <c r="EC7">
        <f t="shared" si="59"/>
        <v>3.4520802926259423E-3</v>
      </c>
      <c r="ED7">
        <f t="shared" si="60"/>
        <v>-2.8343891231452281</v>
      </c>
      <c r="EE7">
        <f t="shared" si="61"/>
        <v>-0.16653285094860329</v>
      </c>
      <c r="EF7">
        <f t="shared" si="79"/>
        <v>-4.4555262491361734E-2</v>
      </c>
      <c r="EH7" t="s">
        <v>315</v>
      </c>
      <c r="EI7" t="s">
        <v>95</v>
      </c>
      <c r="EJ7">
        <v>5</v>
      </c>
      <c r="EK7">
        <v>30</v>
      </c>
      <c r="EL7">
        <v>44</v>
      </c>
      <c r="EM7">
        <f t="shared" si="62"/>
        <v>79</v>
      </c>
      <c r="EN7">
        <f t="shared" si="63"/>
        <v>10.690121786197563</v>
      </c>
      <c r="EO7">
        <f t="shared" si="64"/>
        <v>0.10690121786197564</v>
      </c>
      <c r="EP7">
        <f t="shared" si="65"/>
        <v>1.142787038037358E-2</v>
      </c>
      <c r="EQ7">
        <f t="shared" si="66"/>
        <v>-2.2358500684811804</v>
      </c>
      <c r="ER7">
        <f t="shared" si="67"/>
        <v>-0.23901509527741982</v>
      </c>
      <c r="ES7">
        <f t="shared" si="68"/>
        <v>-6.3161500453119884E-2</v>
      </c>
      <c r="ET7">
        <f t="shared" si="69"/>
        <v>6.5099258980626384</v>
      </c>
      <c r="EV7" t="s">
        <v>303</v>
      </c>
      <c r="EW7" t="s">
        <v>164</v>
      </c>
      <c r="EX7">
        <v>1</v>
      </c>
      <c r="EY7">
        <v>7</v>
      </c>
      <c r="FB7">
        <f t="shared" si="70"/>
        <v>8</v>
      </c>
      <c r="FC7">
        <f t="shared" si="71"/>
        <v>1.3157894736842104</v>
      </c>
      <c r="FD7">
        <f t="shared" si="72"/>
        <v>1.3157894736842105E-2</v>
      </c>
      <c r="FE7">
        <f t="shared" si="73"/>
        <v>1.7313019390581715E-4</v>
      </c>
      <c r="FF7">
        <f t="shared" si="74"/>
        <v>-4.3307333402863311</v>
      </c>
      <c r="FG7">
        <f t="shared" si="75"/>
        <v>-5.6983333424820141E-2</v>
      </c>
      <c r="FH7">
        <f t="shared" si="76"/>
        <v>-1.4969368463306636E-2</v>
      </c>
      <c r="FI7">
        <f t="shared" si="77"/>
        <v>6.8640873002990608</v>
      </c>
    </row>
    <row r="8" spans="1:165" x14ac:dyDescent="0.25">
      <c r="A8" t="s">
        <v>303</v>
      </c>
      <c r="B8" t="s">
        <v>116</v>
      </c>
      <c r="C8">
        <v>112</v>
      </c>
      <c r="D8" s="15">
        <f>(C8/C31)*100</f>
        <v>14.000000000000002</v>
      </c>
      <c r="E8">
        <f t="shared" si="0"/>
        <v>0.14000000000000001</v>
      </c>
      <c r="F8">
        <f t="shared" si="1"/>
        <v>1.9600000000000003E-2</v>
      </c>
      <c r="G8">
        <f t="shared" si="2"/>
        <v>-1.9661128563728327</v>
      </c>
      <c r="H8">
        <f t="shared" si="3"/>
        <v>-0.27525579989219662</v>
      </c>
      <c r="I8">
        <f t="shared" si="4"/>
        <v>-8.3516208806141523E-2</v>
      </c>
      <c r="J8">
        <f t="shared" si="5"/>
        <v>3.8895303211680581</v>
      </c>
      <c r="L8" t="s">
        <v>303</v>
      </c>
      <c r="M8" s="1" t="s">
        <v>50</v>
      </c>
      <c r="N8">
        <v>115</v>
      </c>
      <c r="O8">
        <f>N8/N46*100</f>
        <v>12.169312169312169</v>
      </c>
      <c r="P8">
        <f t="shared" si="6"/>
        <v>0.12169312169312169</v>
      </c>
      <c r="Q8">
        <f t="shared" si="7"/>
        <v>1.4809215867416924E-2</v>
      </c>
      <c r="R8">
        <f t="shared" si="8"/>
        <v>-2.1062527991304929</v>
      </c>
      <c r="S8">
        <f t="shared" si="9"/>
        <v>-0.25631647820106523</v>
      </c>
      <c r="T8">
        <f t="shared" si="10"/>
        <v>-6.8576547522353218E-2</v>
      </c>
      <c r="U8">
        <f t="shared" si="11"/>
        <v>5.9843662715141974</v>
      </c>
      <c r="W8" t="s">
        <v>303</v>
      </c>
      <c r="X8" s="10" t="s">
        <v>75</v>
      </c>
      <c r="Y8">
        <v>38</v>
      </c>
      <c r="Z8">
        <v>12</v>
      </c>
      <c r="AA8">
        <v>30</v>
      </c>
      <c r="AC8" s="9">
        <f t="shared" ref="AC8:AC13" si="80">SUM(Y8:AA8)</f>
        <v>80</v>
      </c>
      <c r="AD8">
        <f>AC8/AC53*100</f>
        <v>7.3394495412844041</v>
      </c>
      <c r="AE8">
        <f t="shared" si="78"/>
        <v>7.3059360730593603E-2</v>
      </c>
      <c r="AF8">
        <f t="shared" si="12"/>
        <v>5.3376701903630024E-3</v>
      </c>
      <c r="AG8">
        <f t="shared" si="13"/>
        <v>-2.6164830075767198</v>
      </c>
      <c r="AH8">
        <f t="shared" si="14"/>
        <v>-0.19115857589601604</v>
      </c>
      <c r="AI8">
        <f t="shared" si="15"/>
        <v>-4.8618273990844306E-2</v>
      </c>
      <c r="AJ8">
        <f t="shared" si="16"/>
        <v>7.1443782399249294</v>
      </c>
      <c r="AL8" t="s">
        <v>303</v>
      </c>
      <c r="AM8" s="1" t="s">
        <v>21</v>
      </c>
      <c r="AN8">
        <v>60</v>
      </c>
      <c r="AO8">
        <f>AN8/AN51*100</f>
        <v>5.7306590257879657</v>
      </c>
      <c r="AP8">
        <v>27</v>
      </c>
      <c r="AQ8">
        <v>22</v>
      </c>
      <c r="AR8">
        <v>3</v>
      </c>
      <c r="AS8">
        <v>8</v>
      </c>
      <c r="AU8">
        <f t="shared" si="17"/>
        <v>5.7251908396946563E-2</v>
      </c>
      <c r="AV8">
        <f t="shared" si="18"/>
        <v>3.2777810150923605E-3</v>
      </c>
      <c r="AW8">
        <f t="shared" si="19"/>
        <v>-2.860294302658887</v>
      </c>
      <c r="AX8">
        <f t="shared" si="20"/>
        <v>-0.16375730740413474</v>
      </c>
      <c r="AY8">
        <f t="shared" si="21"/>
        <v>-4.2301421947017331E-2</v>
      </c>
      <c r="AZ8">
        <f t="shared" si="22"/>
        <v>6.7580791631521038</v>
      </c>
      <c r="BC8" t="s">
        <v>303</v>
      </c>
      <c r="BD8" s="27" t="s">
        <v>632</v>
      </c>
      <c r="BE8" s="9">
        <v>66</v>
      </c>
      <c r="BF8" s="20">
        <f>BE8/BE59*100</f>
        <v>2.4202420242024201</v>
      </c>
      <c r="BG8">
        <f t="shared" si="23"/>
        <v>2.4202420242024202E-2</v>
      </c>
      <c r="BH8">
        <f t="shared" si="24"/>
        <v>5.8575714557154279E-4</v>
      </c>
      <c r="BI8">
        <f t="shared" si="25"/>
        <v>-3.7213026408191632</v>
      </c>
      <c r="BJ8">
        <f t="shared" si="26"/>
        <v>-9.0064530360859832E-2</v>
      </c>
      <c r="BK8">
        <f t="shared" si="27"/>
        <v>-2.247492938514796E-2</v>
      </c>
      <c r="BL8">
        <f t="shared" si="28"/>
        <v>6.8259753385975239</v>
      </c>
      <c r="BO8" t="s">
        <v>315</v>
      </c>
      <c r="BP8" t="s">
        <v>224</v>
      </c>
      <c r="BR8">
        <v>2</v>
      </c>
      <c r="BS8">
        <v>1</v>
      </c>
      <c r="BU8">
        <f t="shared" si="29"/>
        <v>3</v>
      </c>
      <c r="BV8">
        <f>BU8/BU67*100</f>
        <v>5.8685446009389672E-2</v>
      </c>
      <c r="BW8">
        <f t="shared" si="30"/>
        <v>5.8685446009389673E-4</v>
      </c>
      <c r="BX8">
        <f t="shared" si="31"/>
        <v>3.4439815733209904E-7</v>
      </c>
      <c r="BY8">
        <f t="shared" si="32"/>
        <v>-7.4407337073892608</v>
      </c>
      <c r="BZ8">
        <f t="shared" si="33"/>
        <v>-4.3666277625523829E-3</v>
      </c>
      <c r="CA8">
        <f t="shared" si="34"/>
        <v>-1.0539429805980511E-3</v>
      </c>
      <c r="CB8">
        <f t="shared" si="35"/>
        <v>7.2605091805186834</v>
      </c>
      <c r="CD8" t="s">
        <v>315</v>
      </c>
      <c r="CE8" t="s">
        <v>224</v>
      </c>
      <c r="CF8">
        <v>1230</v>
      </c>
      <c r="CG8">
        <v>1</v>
      </c>
      <c r="CI8">
        <v>1</v>
      </c>
      <c r="CJ8">
        <f t="shared" si="36"/>
        <v>1232</v>
      </c>
      <c r="CK8">
        <f>CJ8/CJ56*100</f>
        <v>22.078853046594983</v>
      </c>
      <c r="CL8">
        <f t="shared" si="37"/>
        <v>0.22078853046594982</v>
      </c>
      <c r="CM8">
        <f t="shared" si="38"/>
        <v>4.8747575185313648E-2</v>
      </c>
      <c r="CN8">
        <f t="shared" si="39"/>
        <v>-1.5105499112818916</v>
      </c>
      <c r="CO8">
        <f t="shared" si="40"/>
        <v>-0.33351209510739971</v>
      </c>
      <c r="CP8">
        <f t="shared" si="41"/>
        <v>-8.4406864992660327E-2</v>
      </c>
      <c r="CQ8">
        <f t="shared" si="42"/>
        <v>5.9117109920543012</v>
      </c>
      <c r="CT8" t="s">
        <v>304</v>
      </c>
      <c r="CU8" t="s">
        <v>163</v>
      </c>
      <c r="CV8">
        <v>1</v>
      </c>
      <c r="CW8">
        <v>2</v>
      </c>
      <c r="CX8">
        <v>25</v>
      </c>
      <c r="CY8">
        <v>8</v>
      </c>
      <c r="CZ8">
        <f t="shared" si="43"/>
        <v>36</v>
      </c>
      <c r="DA8">
        <f>CZ8/CZ72*100</f>
        <v>0.60321715817694366</v>
      </c>
      <c r="DB8">
        <f>CZ8/5968</f>
        <v>6.0321715817694367E-3</v>
      </c>
      <c r="DC8" s="2">
        <f t="shared" si="44"/>
        <v>3.6387093991906789E-5</v>
      </c>
      <c r="DD8">
        <f t="shared" si="45"/>
        <v>-10.221296406854973</v>
      </c>
      <c r="DE8">
        <f t="shared" si="46"/>
        <v>-6.1656613714272626E-2</v>
      </c>
      <c r="DF8">
        <f t="shared" si="47"/>
        <v>-1.4612276602466662E-2</v>
      </c>
      <c r="DG8">
        <f t="shared" si="48"/>
        <v>7.7063160745129649</v>
      </c>
      <c r="DI8" t="s">
        <v>303</v>
      </c>
      <c r="DJ8" t="s">
        <v>164</v>
      </c>
      <c r="DK8">
        <v>37</v>
      </c>
      <c r="DL8">
        <f t="shared" si="49"/>
        <v>2.681159420289855</v>
      </c>
      <c r="DM8">
        <f t="shared" si="50"/>
        <v>2.681159420289855E-2</v>
      </c>
      <c r="DN8">
        <f t="shared" si="51"/>
        <v>7.1886158370090315E-4</v>
      </c>
      <c r="DO8">
        <f t="shared" si="52"/>
        <v>-3.6189208655070262</v>
      </c>
      <c r="DP8">
        <f t="shared" si="53"/>
        <v>-9.7029037698376785E-2</v>
      </c>
      <c r="DQ8">
        <f t="shared" si="54"/>
        <v>-2.707646851175283E-2</v>
      </c>
      <c r="DR8">
        <f t="shared" si="55"/>
        <v>5.2558124663256702</v>
      </c>
      <c r="DT8" t="s">
        <v>303</v>
      </c>
      <c r="DU8" t="s">
        <v>164</v>
      </c>
      <c r="DV8">
        <v>38</v>
      </c>
      <c r="DW8">
        <v>35</v>
      </c>
      <c r="DX8">
        <v>50</v>
      </c>
      <c r="DY8">
        <v>53</v>
      </c>
      <c r="DZ8">
        <f t="shared" si="56"/>
        <v>176</v>
      </c>
      <c r="EA8" s="15">
        <f t="shared" si="57"/>
        <v>20.681551116333726</v>
      </c>
      <c r="EB8">
        <f t="shared" si="58"/>
        <v>0.20681551116333724</v>
      </c>
      <c r="EC8">
        <f t="shared" si="59"/>
        <v>4.277265565775247E-2</v>
      </c>
      <c r="ED8">
        <f t="shared" si="60"/>
        <v>-1.5759281335352224</v>
      </c>
      <c r="EE8">
        <f t="shared" si="61"/>
        <v>-0.32592638249377104</v>
      </c>
      <c r="EF8">
        <f t="shared" si="79"/>
        <v>-8.7200425874842849E-2</v>
      </c>
      <c r="EH8" t="s">
        <v>303</v>
      </c>
      <c r="EI8" t="s">
        <v>164</v>
      </c>
      <c r="EJ8">
        <v>9</v>
      </c>
      <c r="EK8">
        <v>5</v>
      </c>
      <c r="EL8">
        <v>10</v>
      </c>
      <c r="EM8">
        <f t="shared" si="62"/>
        <v>24</v>
      </c>
      <c r="EN8">
        <f t="shared" si="63"/>
        <v>3.247631935047361</v>
      </c>
      <c r="EO8">
        <f t="shared" si="64"/>
        <v>3.2476319350473612E-2</v>
      </c>
      <c r="EP8">
        <f t="shared" si="65"/>
        <v>1.0547113185539467E-3</v>
      </c>
      <c r="EQ8">
        <f t="shared" si="66"/>
        <v>-3.4272440906002561</v>
      </c>
      <c r="ER8">
        <f t="shared" si="67"/>
        <v>-0.11130427357835744</v>
      </c>
      <c r="ES8">
        <f t="shared" si="68"/>
        <v>-2.9412974598503335E-2</v>
      </c>
      <c r="ET8">
        <f t="shared" si="69"/>
        <v>6.5099258980626384</v>
      </c>
      <c r="EV8" t="s">
        <v>303</v>
      </c>
      <c r="EW8" t="s">
        <v>355</v>
      </c>
      <c r="EX8">
        <v>1</v>
      </c>
      <c r="EZ8">
        <v>1</v>
      </c>
      <c r="FA8">
        <v>1</v>
      </c>
      <c r="FB8">
        <f t="shared" si="70"/>
        <v>3</v>
      </c>
      <c r="FC8">
        <f t="shared" si="71"/>
        <v>0.49342105263157893</v>
      </c>
      <c r="FD8">
        <f t="shared" si="72"/>
        <v>4.9342105263157892E-3</v>
      </c>
      <c r="FE8">
        <f t="shared" si="73"/>
        <v>2.4346433518005538E-5</v>
      </c>
      <c r="FF8">
        <f t="shared" si="74"/>
        <v>-5.3115625932980572</v>
      </c>
      <c r="FG8">
        <f t="shared" si="75"/>
        <v>-2.6208368059036466E-2</v>
      </c>
      <c r="FH8">
        <f t="shared" si="76"/>
        <v>-6.8848678151704973E-3</v>
      </c>
      <c r="FI8">
        <f t="shared" si="77"/>
        <v>6.8640873002990608</v>
      </c>
    </row>
    <row r="9" spans="1:165" x14ac:dyDescent="0.25">
      <c r="A9" t="s">
        <v>303</v>
      </c>
      <c r="B9" t="s">
        <v>313</v>
      </c>
      <c r="C9">
        <v>8</v>
      </c>
      <c r="D9">
        <f>(C9/C31)*100</f>
        <v>1</v>
      </c>
      <c r="E9">
        <f t="shared" si="0"/>
        <v>0.01</v>
      </c>
      <c r="F9">
        <f t="shared" si="1"/>
        <v>1E-4</v>
      </c>
      <c r="G9">
        <f t="shared" si="2"/>
        <v>-4.6051701859880909</v>
      </c>
      <c r="H9">
        <f t="shared" si="3"/>
        <v>-4.605170185988091E-2</v>
      </c>
      <c r="I9">
        <f t="shared" si="4"/>
        <v>-1.3972688495262562E-2</v>
      </c>
      <c r="J9">
        <f t="shared" si="5"/>
        <v>3.8895303211680581</v>
      </c>
      <c r="L9" t="s">
        <v>303</v>
      </c>
      <c r="M9" s="1" t="s">
        <v>73</v>
      </c>
      <c r="N9">
        <v>17</v>
      </c>
      <c r="O9">
        <f>N9/N46*100</f>
        <v>1.7989417989417988</v>
      </c>
      <c r="P9">
        <f t="shared" si="6"/>
        <v>1.7989417989417989E-2</v>
      </c>
      <c r="Q9">
        <f t="shared" si="7"/>
        <v>3.2361915959799555E-4</v>
      </c>
      <c r="R9">
        <f t="shared" si="8"/>
        <v>-4.0179715834375269</v>
      </c>
      <c r="S9">
        <f t="shared" si="9"/>
        <v>-7.228097028406133E-2</v>
      </c>
      <c r="T9">
        <f t="shared" si="10"/>
        <v>-1.9338512406363629E-2</v>
      </c>
      <c r="U9">
        <f t="shared" si="11"/>
        <v>5.9843662715141974</v>
      </c>
      <c r="W9" t="s">
        <v>303</v>
      </c>
      <c r="X9" s="10" t="s">
        <v>185</v>
      </c>
      <c r="Y9">
        <v>10</v>
      </c>
      <c r="Z9">
        <v>5</v>
      </c>
      <c r="AA9">
        <v>1</v>
      </c>
      <c r="AC9" s="9">
        <f t="shared" si="80"/>
        <v>16</v>
      </c>
      <c r="AD9">
        <f>AC9/AC53*100</f>
        <v>1.4678899082568808</v>
      </c>
      <c r="AE9">
        <f t="shared" si="78"/>
        <v>1.4611872146118721E-2</v>
      </c>
      <c r="AF9">
        <f t="shared" si="12"/>
        <v>2.1350680761452013E-4</v>
      </c>
      <c r="AG9">
        <f t="shared" si="13"/>
        <v>-4.2259209200108199</v>
      </c>
      <c r="AH9">
        <f t="shared" si="14"/>
        <v>-6.1748616182806498E-2</v>
      </c>
      <c r="AI9">
        <f t="shared" si="15"/>
        <v>-1.5704820597555708E-2</v>
      </c>
      <c r="AJ9">
        <f t="shared" si="16"/>
        <v>7.1443782399249294</v>
      </c>
      <c r="AL9" t="s">
        <v>303</v>
      </c>
      <c r="AM9" s="1" t="s">
        <v>37</v>
      </c>
      <c r="AN9">
        <v>62</v>
      </c>
      <c r="AO9">
        <f>AN9/AN51*100</f>
        <v>5.9216809933142311</v>
      </c>
      <c r="AP9">
        <v>37</v>
      </c>
      <c r="AQ9">
        <v>7</v>
      </c>
      <c r="AR9">
        <v>10</v>
      </c>
      <c r="AS9">
        <v>8</v>
      </c>
      <c r="AU9">
        <f t="shared" si="17"/>
        <v>5.9160305343511452E-2</v>
      </c>
      <c r="AV9">
        <f t="shared" si="18"/>
        <v>3.4999417283375096E-3</v>
      </c>
      <c r="AW9">
        <f t="shared" si="19"/>
        <v>-2.8275044798358957</v>
      </c>
      <c r="AX9">
        <f t="shared" si="20"/>
        <v>-0.1672760283872381</v>
      </c>
      <c r="AY9">
        <f t="shared" si="21"/>
        <v>-4.3210370093390675E-2</v>
      </c>
      <c r="AZ9">
        <f t="shared" si="22"/>
        <v>6.7580791631521038</v>
      </c>
      <c r="BC9" t="s">
        <v>303</v>
      </c>
      <c r="BD9" s="27" t="s">
        <v>633</v>
      </c>
      <c r="BE9" s="9">
        <v>45</v>
      </c>
      <c r="BF9">
        <f>BE9/BE59*100</f>
        <v>1.6501650165016499</v>
      </c>
      <c r="BG9">
        <f t="shared" si="23"/>
        <v>1.65016501650165E-2</v>
      </c>
      <c r="BH9">
        <f t="shared" si="24"/>
        <v>2.7230445816858907E-4</v>
      </c>
      <c r="BI9">
        <f t="shared" si="25"/>
        <v>-4.1042948930752692</v>
      </c>
      <c r="BJ9">
        <f t="shared" si="26"/>
        <v>-6.7727638499591888E-2</v>
      </c>
      <c r="BK9">
        <f t="shared" si="27"/>
        <v>-1.6900925221086379E-2</v>
      </c>
      <c r="BL9">
        <f t="shared" si="28"/>
        <v>6.8259753385975239</v>
      </c>
      <c r="BO9" t="s">
        <v>315</v>
      </c>
      <c r="BP9" t="s">
        <v>163</v>
      </c>
      <c r="BQ9">
        <v>150</v>
      </c>
      <c r="BR9">
        <v>25</v>
      </c>
      <c r="BS9">
        <v>13</v>
      </c>
      <c r="BU9">
        <f t="shared" si="29"/>
        <v>188</v>
      </c>
      <c r="BV9">
        <f>BU9/BU67*100</f>
        <v>3.6776212832550863</v>
      </c>
      <c r="BW9">
        <f t="shared" si="30"/>
        <v>3.6776212832550864E-2</v>
      </c>
      <c r="BX9">
        <f t="shared" si="31"/>
        <v>1.3524898303050789E-3</v>
      </c>
      <c r="BY9">
        <f t="shared" si="32"/>
        <v>-3.3029040332274215</v>
      </c>
      <c r="BZ9">
        <f t="shared" si="33"/>
        <v>-0.1214683016914623</v>
      </c>
      <c r="CA9">
        <f t="shared" si="34"/>
        <v>-2.9317970501349166E-2</v>
      </c>
      <c r="CB9">
        <f t="shared" si="35"/>
        <v>7.2605091805186834</v>
      </c>
      <c r="CD9" t="s">
        <v>315</v>
      </c>
      <c r="CE9" t="s">
        <v>163</v>
      </c>
      <c r="CF9">
        <v>190</v>
      </c>
      <c r="CG9">
        <v>25</v>
      </c>
      <c r="CH9">
        <v>33</v>
      </c>
      <c r="CI9">
        <v>17</v>
      </c>
      <c r="CJ9">
        <f t="shared" si="36"/>
        <v>265</v>
      </c>
      <c r="CK9">
        <f>CJ9/CJ56*100</f>
        <v>4.7491039426523294</v>
      </c>
      <c r="CL9">
        <f t="shared" si="37"/>
        <v>4.7491039426523295E-2</v>
      </c>
      <c r="CM9">
        <f t="shared" si="38"/>
        <v>2.2553988258115902E-3</v>
      </c>
      <c r="CN9">
        <f t="shared" si="39"/>
        <v>-3.0472142293891347</v>
      </c>
      <c r="CO9">
        <f t="shared" si="40"/>
        <v>-0.14471537110898219</v>
      </c>
      <c r="CP9">
        <f t="shared" si="41"/>
        <v>-3.662527077953516E-2</v>
      </c>
      <c r="CQ9">
        <f t="shared" si="42"/>
        <v>5.9117109920543012</v>
      </c>
      <c r="CT9" t="s">
        <v>303</v>
      </c>
      <c r="CU9" t="s">
        <v>164</v>
      </c>
      <c r="CV9">
        <v>22</v>
      </c>
      <c r="CW9">
        <v>81</v>
      </c>
      <c r="CX9">
        <v>15</v>
      </c>
      <c r="CY9">
        <v>70</v>
      </c>
      <c r="CZ9">
        <f t="shared" si="43"/>
        <v>188</v>
      </c>
      <c r="DA9">
        <f>CZ9/CZ72*100</f>
        <v>3.1501340482573728</v>
      </c>
      <c r="DB9">
        <f t="shared" ref="DB9:DB71" si="81">CZ9/5968</f>
        <v>3.1501340482573727E-2</v>
      </c>
      <c r="DC9" s="2">
        <f t="shared" si="44"/>
        <v>9.923344521990383E-4</v>
      </c>
      <c r="DD9">
        <f t="shared" si="45"/>
        <v>-6.9154503581072948</v>
      </c>
      <c r="DE9">
        <f t="shared" si="46"/>
        <v>-0.21784595632107431</v>
      </c>
      <c r="DF9">
        <f t="shared" si="47"/>
        <v>-5.1628287360120415E-2</v>
      </c>
      <c r="DG9">
        <f t="shared" si="48"/>
        <v>7.7063160745129649</v>
      </c>
      <c r="DI9" t="s">
        <v>315</v>
      </c>
      <c r="DJ9" t="s">
        <v>558</v>
      </c>
      <c r="DK9">
        <v>15</v>
      </c>
      <c r="DL9">
        <f t="shared" si="49"/>
        <v>1.0869565217391304</v>
      </c>
      <c r="DM9">
        <f t="shared" si="50"/>
        <v>1.0869565217391304E-2</v>
      </c>
      <c r="DN9">
        <f t="shared" si="51"/>
        <v>1.1814744801512286E-4</v>
      </c>
      <c r="DO9">
        <f t="shared" si="52"/>
        <v>-4.5217885770490405</v>
      </c>
      <c r="DP9">
        <f t="shared" si="53"/>
        <v>-4.9149875837489566E-2</v>
      </c>
      <c r="DQ9">
        <f t="shared" si="54"/>
        <v>-1.3715533999288656E-2</v>
      </c>
      <c r="DR9">
        <f t="shared" si="55"/>
        <v>5.2558124663256702</v>
      </c>
      <c r="DT9" t="s">
        <v>303</v>
      </c>
      <c r="DU9" t="s">
        <v>355</v>
      </c>
      <c r="DV9">
        <v>1</v>
      </c>
      <c r="DW9">
        <v>2</v>
      </c>
      <c r="DZ9">
        <f t="shared" si="56"/>
        <v>3</v>
      </c>
      <c r="EA9">
        <f t="shared" si="57"/>
        <v>0.35252643948296125</v>
      </c>
      <c r="EB9">
        <f t="shared" si="58"/>
        <v>3.5252643948296123E-3</v>
      </c>
      <c r="EC9">
        <f t="shared" si="59"/>
        <v>1.2427489053453392E-5</v>
      </c>
      <c r="ED9">
        <f t="shared" si="60"/>
        <v>-5.6477998399052645</v>
      </c>
      <c r="EE9">
        <f t="shared" si="61"/>
        <v>-1.9909987684742413E-2</v>
      </c>
      <c r="EF9">
        <f t="shared" si="79"/>
        <v>-5.3268452587006991E-3</v>
      </c>
      <c r="EH9" t="s">
        <v>315</v>
      </c>
      <c r="EI9" t="s">
        <v>356</v>
      </c>
      <c r="EJ9">
        <v>15</v>
      </c>
      <c r="EK9">
        <v>8</v>
      </c>
      <c r="EL9">
        <v>10</v>
      </c>
      <c r="EM9">
        <f t="shared" si="62"/>
        <v>33</v>
      </c>
      <c r="EN9">
        <f t="shared" si="63"/>
        <v>4.465493910690121</v>
      </c>
      <c r="EO9">
        <f t="shared" si="64"/>
        <v>4.4654939106901215E-2</v>
      </c>
      <c r="EP9">
        <f t="shared" si="65"/>
        <v>1.9940635866410555E-3</v>
      </c>
      <c r="EQ9">
        <f t="shared" si="66"/>
        <v>-3.1087903594817217</v>
      </c>
      <c r="ER9">
        <f t="shared" si="67"/>
        <v>-0.13882284419877783</v>
      </c>
      <c r="ES9">
        <f t="shared" si="68"/>
        <v>-3.6684959695065966E-2</v>
      </c>
      <c r="ET9">
        <f t="shared" si="69"/>
        <v>6.5099258980626384</v>
      </c>
      <c r="EV9" t="s">
        <v>315</v>
      </c>
      <c r="EW9" t="s">
        <v>356</v>
      </c>
      <c r="EY9">
        <v>8</v>
      </c>
      <c r="EZ9">
        <v>25</v>
      </c>
      <c r="FA9">
        <v>1</v>
      </c>
      <c r="FB9">
        <f t="shared" si="70"/>
        <v>34</v>
      </c>
      <c r="FC9">
        <f t="shared" si="71"/>
        <v>5.5921052631578947</v>
      </c>
      <c r="FD9">
        <f t="shared" si="72"/>
        <v>5.5921052631578948E-2</v>
      </c>
      <c r="FE9">
        <f t="shared" si="73"/>
        <v>3.1271641274238228E-3</v>
      </c>
      <c r="FF9">
        <f t="shared" si="74"/>
        <v>-2.8838143573500057</v>
      </c>
      <c r="FG9">
        <f t="shared" si="75"/>
        <v>-0.16126593445707268</v>
      </c>
      <c r="FH9">
        <f t="shared" si="76"/>
        <v>-4.2364127340010882E-2</v>
      </c>
      <c r="FI9">
        <f t="shared" si="77"/>
        <v>6.8640873002990608</v>
      </c>
    </row>
    <row r="10" spans="1:165" x14ac:dyDescent="0.25">
      <c r="A10" t="s">
        <v>303</v>
      </c>
      <c r="B10" t="s">
        <v>314</v>
      </c>
      <c r="C10">
        <v>73</v>
      </c>
      <c r="D10">
        <f>(C10/C31)*100</f>
        <v>9.125</v>
      </c>
      <c r="E10">
        <f t="shared" si="0"/>
        <v>9.1249999999999998E-2</v>
      </c>
      <c r="F10">
        <f t="shared" si="1"/>
        <v>8.3265624999999989E-3</v>
      </c>
      <c r="G10">
        <f t="shared" si="2"/>
        <v>-2.3941522865195362</v>
      </c>
      <c r="H10">
        <f t="shared" si="3"/>
        <v>-0.21846639614490768</v>
      </c>
      <c r="I10">
        <f t="shared" si="4"/>
        <v>-6.6285561156964351E-2</v>
      </c>
      <c r="J10">
        <f t="shared" si="5"/>
        <v>3.8895303211680581</v>
      </c>
      <c r="L10" t="s">
        <v>303</v>
      </c>
      <c r="M10" t="s">
        <v>74</v>
      </c>
      <c r="N10">
        <v>29</v>
      </c>
      <c r="O10">
        <f>N10/N46*100</f>
        <v>3.0687830687830688</v>
      </c>
      <c r="P10">
        <f t="shared" si="6"/>
        <v>3.0687830687830688E-2</v>
      </c>
      <c r="Q10">
        <f t="shared" si="7"/>
        <v>9.4174295232496289E-4</v>
      </c>
      <c r="R10">
        <f t="shared" si="8"/>
        <v>-3.4838890975072689</v>
      </c>
      <c r="S10">
        <f t="shared" si="9"/>
        <v>-0.10691299875948232</v>
      </c>
      <c r="T10">
        <f t="shared" si="10"/>
        <v>-2.8604186479324292E-2</v>
      </c>
      <c r="U10">
        <f t="shared" si="11"/>
        <v>5.9843662715141974</v>
      </c>
      <c r="W10" t="s">
        <v>305</v>
      </c>
      <c r="X10" s="10" t="s">
        <v>186</v>
      </c>
      <c r="Y10">
        <v>8</v>
      </c>
      <c r="Z10">
        <v>2</v>
      </c>
      <c r="AC10" s="9">
        <f t="shared" si="80"/>
        <v>10</v>
      </c>
      <c r="AD10">
        <f>AC10/AC53*100</f>
        <v>0.91743119266055051</v>
      </c>
      <c r="AE10">
        <f t="shared" si="78"/>
        <v>9.1324200913242004E-3</v>
      </c>
      <c r="AF10">
        <f t="shared" si="12"/>
        <v>8.3401096724421912E-5</v>
      </c>
      <c r="AG10">
        <f t="shared" si="13"/>
        <v>-4.6959245492565556</v>
      </c>
      <c r="AH10">
        <f t="shared" si="14"/>
        <v>-4.2885155700973107E-2</v>
      </c>
      <c r="AI10">
        <f t="shared" si="15"/>
        <v>-1.0907186560879705E-2</v>
      </c>
      <c r="AJ10">
        <f t="shared" si="16"/>
        <v>7.1443782399249294</v>
      </c>
      <c r="AL10" t="s">
        <v>303</v>
      </c>
      <c r="AM10" s="1" t="s">
        <v>19</v>
      </c>
      <c r="AN10">
        <v>67</v>
      </c>
      <c r="AO10">
        <f>AN10/AN51*100</f>
        <v>6.3992359121298952</v>
      </c>
      <c r="AP10">
        <v>22</v>
      </c>
      <c r="AQ10">
        <v>22</v>
      </c>
      <c r="AR10">
        <v>11</v>
      </c>
      <c r="AS10">
        <v>12</v>
      </c>
      <c r="AU10">
        <f t="shared" si="17"/>
        <v>6.393129770992366E-2</v>
      </c>
      <c r="AV10">
        <f t="shared" si="18"/>
        <v>4.0872108268748906E-3</v>
      </c>
      <c r="AW10">
        <f t="shared" si="19"/>
        <v>-2.7499462454900216</v>
      </c>
      <c r="AX10">
        <f t="shared" si="20"/>
        <v>-0.17580763210670938</v>
      </c>
      <c r="AY10">
        <f t="shared" si="21"/>
        <v>-4.5414234913489601E-2</v>
      </c>
      <c r="AZ10">
        <f t="shared" si="22"/>
        <v>6.7580791631521038</v>
      </c>
      <c r="BC10" t="s">
        <v>303</v>
      </c>
      <c r="BD10" s="27" t="s">
        <v>634</v>
      </c>
      <c r="BE10" s="9">
        <v>107</v>
      </c>
      <c r="BF10">
        <f>BE10/BE59*100</f>
        <v>3.9237257059039234</v>
      </c>
      <c r="BG10">
        <f t="shared" si="23"/>
        <v>3.9237257059039236E-2</v>
      </c>
      <c r="BH10">
        <f t="shared" si="24"/>
        <v>1.5395623415171244E-3</v>
      </c>
      <c r="BI10">
        <f t="shared" si="25"/>
        <v>-3.2381285483836826</v>
      </c>
      <c r="BJ10">
        <f t="shared" si="26"/>
        <v>-0.12705528224314414</v>
      </c>
      <c r="BK10">
        <f t="shared" si="27"/>
        <v>-3.1705694627878436E-2</v>
      </c>
      <c r="BL10">
        <f t="shared" si="28"/>
        <v>6.8259753385975239</v>
      </c>
      <c r="BO10" t="s">
        <v>303</v>
      </c>
      <c r="BP10" t="s">
        <v>164</v>
      </c>
      <c r="BQ10">
        <v>50</v>
      </c>
      <c r="BR10">
        <v>18</v>
      </c>
      <c r="BS10">
        <v>34</v>
      </c>
      <c r="BT10">
        <v>18</v>
      </c>
      <c r="BU10">
        <f t="shared" si="29"/>
        <v>120</v>
      </c>
      <c r="BV10">
        <f>BU10/BU67*100</f>
        <v>2.3474178403755865</v>
      </c>
      <c r="BW10">
        <f t="shared" si="30"/>
        <v>2.3474178403755867E-2</v>
      </c>
      <c r="BX10">
        <f t="shared" si="31"/>
        <v>5.5103705173135834E-4</v>
      </c>
      <c r="BY10">
        <f t="shared" si="32"/>
        <v>-3.751854253275325</v>
      </c>
      <c r="BZ10">
        <f t="shared" si="33"/>
        <v>-8.8071696086275228E-2</v>
      </c>
      <c r="CA10">
        <f t="shared" si="34"/>
        <v>-2.1257260963604089E-2</v>
      </c>
      <c r="CB10">
        <f t="shared" si="35"/>
        <v>7.2605091805186834</v>
      </c>
      <c r="CD10" t="s">
        <v>303</v>
      </c>
      <c r="CE10" t="s">
        <v>164</v>
      </c>
      <c r="CF10">
        <v>38</v>
      </c>
      <c r="CG10">
        <v>31</v>
      </c>
      <c r="CH10">
        <v>12</v>
      </c>
      <c r="CI10">
        <v>31</v>
      </c>
      <c r="CJ10">
        <f t="shared" si="36"/>
        <v>112</v>
      </c>
      <c r="CK10">
        <f>CJ10/CJ56*100</f>
        <v>2.0071684587813619</v>
      </c>
      <c r="CL10">
        <f t="shared" si="37"/>
        <v>2.007168458781362E-2</v>
      </c>
      <c r="CM10">
        <f t="shared" si="38"/>
        <v>4.0287252219267482E-4</v>
      </c>
      <c r="CN10">
        <f t="shared" si="39"/>
        <v>-3.9084451840802621</v>
      </c>
      <c r="CO10">
        <f t="shared" si="40"/>
        <v>-7.8449078963618163E-2</v>
      </c>
      <c r="CP10">
        <f t="shared" si="41"/>
        <v>-1.9854274894433213E-2</v>
      </c>
      <c r="CQ10">
        <f t="shared" si="42"/>
        <v>5.9117109920543012</v>
      </c>
      <c r="CT10" t="s">
        <v>304</v>
      </c>
      <c r="CU10" t="s">
        <v>297</v>
      </c>
      <c r="CV10">
        <v>4</v>
      </c>
      <c r="CW10">
        <v>8</v>
      </c>
      <c r="CX10">
        <v>55</v>
      </c>
      <c r="CY10">
        <v>22</v>
      </c>
      <c r="CZ10">
        <f t="shared" si="43"/>
        <v>89</v>
      </c>
      <c r="DA10">
        <f>CZ10/CZ72*100</f>
        <v>1.4912868632707774</v>
      </c>
      <c r="DB10">
        <f t="shared" si="81"/>
        <v>1.4912868632707774E-2</v>
      </c>
      <c r="DC10" s="2">
        <f t="shared" si="44"/>
        <v>2.2239365085639944E-4</v>
      </c>
      <c r="DD10">
        <f t="shared" si="45"/>
        <v>-8.411061544302914</v>
      </c>
      <c r="DE10">
        <f t="shared" si="46"/>
        <v>-0.12543305587180953</v>
      </c>
      <c r="DF10">
        <f t="shared" si="47"/>
        <v>-2.9726940827229608E-2</v>
      </c>
      <c r="DG10">
        <f t="shared" si="48"/>
        <v>7.7063160745129649</v>
      </c>
      <c r="DI10" t="s">
        <v>315</v>
      </c>
      <c r="DJ10" t="s">
        <v>356</v>
      </c>
      <c r="DK10">
        <v>3</v>
      </c>
      <c r="DL10">
        <f t="shared" si="49"/>
        <v>0.21739130434782608</v>
      </c>
      <c r="DM10">
        <f t="shared" si="50"/>
        <v>2.1739130434782609E-3</v>
      </c>
      <c r="DN10">
        <f t="shared" si="51"/>
        <v>4.7258979206049154E-6</v>
      </c>
      <c r="DO10">
        <f t="shared" si="52"/>
        <v>-6.131226489483141</v>
      </c>
      <c r="DP10">
        <f t="shared" si="53"/>
        <v>-1.3328753238006828E-2</v>
      </c>
      <c r="DQ10">
        <f t="shared" si="54"/>
        <v>-3.7194594104054783E-3</v>
      </c>
      <c r="DR10">
        <f t="shared" si="55"/>
        <v>5.2558124663256702</v>
      </c>
      <c r="DT10" t="s">
        <v>315</v>
      </c>
      <c r="DU10" t="s">
        <v>356</v>
      </c>
      <c r="DW10">
        <v>3</v>
      </c>
      <c r="DX10">
        <v>7</v>
      </c>
      <c r="DZ10">
        <f t="shared" si="56"/>
        <v>10</v>
      </c>
      <c r="EA10">
        <f t="shared" si="57"/>
        <v>1.1750881316098707</v>
      </c>
      <c r="EB10">
        <f t="shared" si="58"/>
        <v>1.1750881316098707E-2</v>
      </c>
      <c r="EC10">
        <f t="shared" si="59"/>
        <v>1.380832117050377E-4</v>
      </c>
      <c r="ED10">
        <f t="shared" si="60"/>
        <v>-4.4438270355793286</v>
      </c>
      <c r="EE10">
        <f t="shared" si="61"/>
        <v>-5.221888408436344E-2</v>
      </c>
      <c r="EF10">
        <f t="shared" si="79"/>
        <v>-1.3970973739606887E-2</v>
      </c>
      <c r="EH10" t="s">
        <v>303</v>
      </c>
      <c r="EI10" t="s">
        <v>357</v>
      </c>
      <c r="EJ10">
        <v>4</v>
      </c>
      <c r="EK10">
        <v>3</v>
      </c>
      <c r="EL10">
        <v>4</v>
      </c>
      <c r="EM10">
        <f t="shared" si="62"/>
        <v>11</v>
      </c>
      <c r="EN10">
        <f t="shared" si="63"/>
        <v>1.4884979702300407</v>
      </c>
      <c r="EO10">
        <f t="shared" si="64"/>
        <v>1.4884979702300407E-2</v>
      </c>
      <c r="EP10">
        <f t="shared" si="65"/>
        <v>2.215626207378951E-4</v>
      </c>
      <c r="EQ10">
        <f t="shared" si="66"/>
        <v>-4.2074026481498308</v>
      </c>
      <c r="ER10">
        <f t="shared" si="67"/>
        <v>-6.2627103017115215E-2</v>
      </c>
      <c r="ES10">
        <f t="shared" si="68"/>
        <v>-1.6549673530041695E-2</v>
      </c>
      <c r="ET10">
        <f t="shared" si="69"/>
        <v>6.5099258980626384</v>
      </c>
      <c r="EV10" t="s">
        <v>303</v>
      </c>
      <c r="EW10" t="s">
        <v>357</v>
      </c>
      <c r="EX10">
        <v>6</v>
      </c>
      <c r="EY10">
        <v>6</v>
      </c>
      <c r="EZ10">
        <v>4</v>
      </c>
      <c r="FA10">
        <v>2</v>
      </c>
      <c r="FB10">
        <f t="shared" si="70"/>
        <v>18</v>
      </c>
      <c r="FC10">
        <f t="shared" si="71"/>
        <v>2.9605263157894735</v>
      </c>
      <c r="FD10">
        <f t="shared" si="72"/>
        <v>2.9605263157894735E-2</v>
      </c>
      <c r="FE10">
        <f t="shared" si="73"/>
        <v>8.7647160664819932E-4</v>
      </c>
      <c r="FF10">
        <f t="shared" si="74"/>
        <v>-3.5198031240700023</v>
      </c>
      <c r="FG10">
        <f t="shared" si="75"/>
        <v>-0.10420469775207243</v>
      </c>
      <c r="FH10">
        <f t="shared" si="76"/>
        <v>-2.7374293894481771E-2</v>
      </c>
      <c r="FI10">
        <f t="shared" si="77"/>
        <v>6.8640873002990608</v>
      </c>
    </row>
    <row r="11" spans="1:165" x14ac:dyDescent="0.25">
      <c r="A11" t="s">
        <v>305</v>
      </c>
      <c r="B11" t="s">
        <v>178</v>
      </c>
      <c r="C11">
        <v>5</v>
      </c>
      <c r="D11">
        <f>(C11/C31)*100</f>
        <v>0.625</v>
      </c>
      <c r="E11">
        <f t="shared" si="0"/>
        <v>6.2500000000000003E-3</v>
      </c>
      <c r="F11">
        <f t="shared" si="1"/>
        <v>3.9062500000000008E-5</v>
      </c>
      <c r="G11">
        <f t="shared" si="2"/>
        <v>-5.0751738152338266</v>
      </c>
      <c r="H11">
        <f t="shared" si="3"/>
        <v>-3.1719836345211416E-2</v>
      </c>
      <c r="I11">
        <f t="shared" si="4"/>
        <v>-9.6242131011983617E-3</v>
      </c>
      <c r="J11">
        <f t="shared" si="5"/>
        <v>3.8895303211680581</v>
      </c>
      <c r="L11" t="s">
        <v>303</v>
      </c>
      <c r="M11" t="s">
        <v>75</v>
      </c>
      <c r="N11">
        <v>133</v>
      </c>
      <c r="O11" s="15">
        <f>N11/N46*100</f>
        <v>14.074074074074074</v>
      </c>
      <c r="P11">
        <f t="shared" si="6"/>
        <v>0.14074074074074075</v>
      </c>
      <c r="Q11">
        <f t="shared" si="7"/>
        <v>1.9807956104252403E-2</v>
      </c>
      <c r="R11">
        <f t="shared" si="8"/>
        <v>-1.9608357992719889</v>
      </c>
      <c r="S11">
        <f t="shared" si="9"/>
        <v>-0.27596948286050216</v>
      </c>
      <c r="T11">
        <f t="shared" si="10"/>
        <v>-7.3834637901262393E-2</v>
      </c>
      <c r="U11">
        <f t="shared" si="11"/>
        <v>5.9843662715141974</v>
      </c>
      <c r="W11" t="s">
        <v>303</v>
      </c>
      <c r="X11" s="10" t="s">
        <v>187</v>
      </c>
      <c r="Y11">
        <v>20</v>
      </c>
      <c r="AC11" s="9">
        <f t="shared" si="80"/>
        <v>20</v>
      </c>
      <c r="AD11">
        <f>AC11/AC53*100</f>
        <v>1.834862385321101</v>
      </c>
      <c r="AE11">
        <f t="shared" si="78"/>
        <v>1.8264840182648401E-2</v>
      </c>
      <c r="AF11">
        <f t="shared" si="12"/>
        <v>3.3360438689768765E-4</v>
      </c>
      <c r="AG11">
        <f t="shared" si="13"/>
        <v>-4.0027773686966102</v>
      </c>
      <c r="AH11">
        <f t="shared" si="14"/>
        <v>-7.3110088925965475E-2</v>
      </c>
      <c r="AI11">
        <f t="shared" si="15"/>
        <v>-1.8594438247076631E-2</v>
      </c>
      <c r="AJ11">
        <f t="shared" si="16"/>
        <v>7.1443782399249294</v>
      </c>
      <c r="AL11" t="s">
        <v>315</v>
      </c>
      <c r="AM11" s="1" t="s">
        <v>36</v>
      </c>
      <c r="AN11">
        <v>44</v>
      </c>
      <c r="AO11">
        <f>AN11/AN51*100</f>
        <v>4.2024832855778413</v>
      </c>
      <c r="AP11">
        <v>9</v>
      </c>
      <c r="AQ11">
        <v>8</v>
      </c>
      <c r="AR11">
        <v>25</v>
      </c>
      <c r="AS11">
        <v>2</v>
      </c>
      <c r="AU11">
        <f t="shared" si="17"/>
        <v>4.1984732824427481E-2</v>
      </c>
      <c r="AV11">
        <f t="shared" si="18"/>
        <v>1.7627177903385585E-3</v>
      </c>
      <c r="AW11">
        <f t="shared" si="19"/>
        <v>-3.1704492309627264</v>
      </c>
      <c r="AX11">
        <f t="shared" si="20"/>
        <v>-0.13311046389538164</v>
      </c>
      <c r="AY11">
        <f t="shared" si="21"/>
        <v>-3.4384797772142553E-2</v>
      </c>
      <c r="AZ11">
        <f t="shared" si="22"/>
        <v>6.7580791631521038</v>
      </c>
      <c r="BC11" t="s">
        <v>303</v>
      </c>
      <c r="BD11" s="27" t="s">
        <v>635</v>
      </c>
      <c r="BE11" s="9">
        <v>33</v>
      </c>
      <c r="BF11">
        <f>BE11/BE59*100</f>
        <v>1.21012101210121</v>
      </c>
      <c r="BG11">
        <f t="shared" si="23"/>
        <v>1.2101210121012101E-2</v>
      </c>
      <c r="BH11">
        <f t="shared" si="24"/>
        <v>1.464392863928857E-4</v>
      </c>
      <c r="BI11">
        <f t="shared" si="25"/>
        <v>-4.4144498213791081</v>
      </c>
      <c r="BJ11">
        <f t="shared" si="26"/>
        <v>-5.3420184857172925E-2</v>
      </c>
      <c r="BK11">
        <f t="shared" si="27"/>
        <v>-1.3330607261216276E-2</v>
      </c>
      <c r="BL11">
        <f t="shared" si="28"/>
        <v>6.8259753385975239</v>
      </c>
      <c r="BO11" t="s">
        <v>315</v>
      </c>
      <c r="BP11" t="s">
        <v>108</v>
      </c>
      <c r="BQ11">
        <v>55</v>
      </c>
      <c r="BR11">
        <v>1200</v>
      </c>
      <c r="BS11">
        <v>55</v>
      </c>
      <c r="BT11">
        <v>60</v>
      </c>
      <c r="BU11">
        <f t="shared" si="29"/>
        <v>1370</v>
      </c>
      <c r="BV11" s="15">
        <f>BU11/BU67*100</f>
        <v>26.799687010954614</v>
      </c>
      <c r="BW11">
        <f t="shared" si="30"/>
        <v>0.26799687010954615</v>
      </c>
      <c r="BX11">
        <f t="shared" si="31"/>
        <v>7.1822322388512952E-2</v>
      </c>
      <c r="BY11">
        <f t="shared" si="32"/>
        <v>-1.3167799772352002</v>
      </c>
      <c r="BZ11">
        <f t="shared" si="33"/>
        <v>-0.35289291252195309</v>
      </c>
      <c r="CA11">
        <f t="shared" si="34"/>
        <v>-8.5175340853399076E-2</v>
      </c>
      <c r="CB11">
        <f t="shared" si="35"/>
        <v>7.2605091805186834</v>
      </c>
      <c r="CD11" t="s">
        <v>315</v>
      </c>
      <c r="CE11" t="s">
        <v>108</v>
      </c>
      <c r="CF11">
        <v>688</v>
      </c>
      <c r="CG11">
        <v>1</v>
      </c>
      <c r="CH11">
        <v>1110</v>
      </c>
      <c r="CI11">
        <v>20</v>
      </c>
      <c r="CJ11">
        <f t="shared" si="36"/>
        <v>1819</v>
      </c>
      <c r="CK11" s="15">
        <f>CJ11/CJ56*100</f>
        <v>32.598566308243726</v>
      </c>
      <c r="CL11">
        <f t="shared" si="37"/>
        <v>0.32598566308243726</v>
      </c>
      <c r="CM11">
        <f t="shared" si="38"/>
        <v>0.1062666525352963</v>
      </c>
      <c r="CN11">
        <f t="shared" si="39"/>
        <v>-1.1209018768572345</v>
      </c>
      <c r="CO11">
        <f t="shared" si="40"/>
        <v>-0.36539794157765404</v>
      </c>
      <c r="CP11">
        <f t="shared" si="41"/>
        <v>-9.2476690278381235E-2</v>
      </c>
      <c r="CQ11">
        <f t="shared" si="42"/>
        <v>5.9117109920543012</v>
      </c>
      <c r="CT11" t="s">
        <v>303</v>
      </c>
      <c r="CU11" t="s">
        <v>247</v>
      </c>
      <c r="CY11">
        <v>4</v>
      </c>
      <c r="CZ11">
        <f t="shared" si="43"/>
        <v>4</v>
      </c>
      <c r="DA11">
        <f>CZ11/CZ72*100</f>
        <v>6.7024128686327081E-2</v>
      </c>
      <c r="DB11">
        <f t="shared" si="81"/>
        <v>6.7024128686327079E-4</v>
      </c>
      <c r="DC11" s="2">
        <f t="shared" si="44"/>
        <v>4.4922338261613323E-7</v>
      </c>
      <c r="DD11">
        <f t="shared" si="45"/>
        <v>-14.615745561527412</v>
      </c>
      <c r="DE11">
        <f t="shared" si="46"/>
        <v>-9.7960761136242705E-3</v>
      </c>
      <c r="DF11">
        <f t="shared" si="47"/>
        <v>-2.3216158846225922E-3</v>
      </c>
      <c r="DG11">
        <f t="shared" si="48"/>
        <v>7.7063160745129649</v>
      </c>
      <c r="DI11" t="s">
        <v>303</v>
      </c>
      <c r="DJ11" t="s">
        <v>357</v>
      </c>
      <c r="DK11">
        <v>12</v>
      </c>
      <c r="DL11">
        <f t="shared" si="49"/>
        <v>0.86956521739130432</v>
      </c>
      <c r="DM11">
        <f t="shared" si="50"/>
        <v>8.6956521739130436E-3</v>
      </c>
      <c r="DN11">
        <f t="shared" si="51"/>
        <v>7.5614366729678646E-5</v>
      </c>
      <c r="DO11">
        <f t="shared" si="52"/>
        <v>-4.7449321283632502</v>
      </c>
      <c r="DP11">
        <f t="shared" si="53"/>
        <v>-4.1260279377071739E-2</v>
      </c>
      <c r="DQ11">
        <f t="shared" si="54"/>
        <v>-1.1513900187408508E-2</v>
      </c>
      <c r="DR11">
        <f t="shared" si="55"/>
        <v>5.2558124663256702</v>
      </c>
      <c r="DT11" t="s">
        <v>303</v>
      </c>
      <c r="DU11" t="s">
        <v>357</v>
      </c>
      <c r="DV11">
        <v>1</v>
      </c>
      <c r="DW11">
        <v>8</v>
      </c>
      <c r="DX11">
        <v>16</v>
      </c>
      <c r="DY11">
        <v>4</v>
      </c>
      <c r="DZ11">
        <f t="shared" si="56"/>
        <v>29</v>
      </c>
      <c r="EA11">
        <f t="shared" si="57"/>
        <v>3.4077555816686247</v>
      </c>
      <c r="EB11">
        <f t="shared" si="58"/>
        <v>3.4077555816686249E-2</v>
      </c>
      <c r="EC11">
        <f t="shared" si="59"/>
        <v>1.1612798104393667E-3</v>
      </c>
      <c r="ED11">
        <f t="shared" si="60"/>
        <v>-3.3791162985869003</v>
      </c>
      <c r="EE11">
        <f t="shared" si="61"/>
        <v>-0.11515202427616933</v>
      </c>
      <c r="EF11">
        <f t="shared" si="79"/>
        <v>-3.0808507983928281E-2</v>
      </c>
      <c r="EH11" t="s">
        <v>303</v>
      </c>
      <c r="EI11" t="s">
        <v>196</v>
      </c>
      <c r="EJ11">
        <v>11</v>
      </c>
      <c r="EK11">
        <v>28</v>
      </c>
      <c r="EL11">
        <v>60</v>
      </c>
      <c r="EM11">
        <f t="shared" si="62"/>
        <v>99</v>
      </c>
      <c r="EN11" s="15">
        <f t="shared" si="63"/>
        <v>13.396481732070365</v>
      </c>
      <c r="EO11">
        <f t="shared" si="64"/>
        <v>0.13396481732070364</v>
      </c>
      <c r="EP11">
        <f t="shared" si="65"/>
        <v>1.79465722797695E-2</v>
      </c>
      <c r="EQ11">
        <f t="shared" si="66"/>
        <v>-2.0101780708136121</v>
      </c>
      <c r="ER11">
        <f t="shared" si="67"/>
        <v>-0.26929313803863003</v>
      </c>
      <c r="ES11">
        <f t="shared" si="68"/>
        <v>-7.1162696400020528E-2</v>
      </c>
      <c r="ET11">
        <f t="shared" si="69"/>
        <v>6.5099258980626384</v>
      </c>
      <c r="EV11" t="s">
        <v>303</v>
      </c>
      <c r="EW11" t="s">
        <v>196</v>
      </c>
      <c r="EZ11">
        <v>6</v>
      </c>
      <c r="FA11">
        <v>2</v>
      </c>
      <c r="FB11">
        <f t="shared" si="70"/>
        <v>8</v>
      </c>
      <c r="FC11">
        <f t="shared" si="71"/>
        <v>1.3157894736842104</v>
      </c>
      <c r="FD11">
        <f t="shared" si="72"/>
        <v>1.3157894736842105E-2</v>
      </c>
      <c r="FE11">
        <f t="shared" si="73"/>
        <v>1.7313019390581715E-4</v>
      </c>
      <c r="FF11">
        <f t="shared" si="74"/>
        <v>-4.3307333402863311</v>
      </c>
      <c r="FG11">
        <f t="shared" si="75"/>
        <v>-5.6983333424820141E-2</v>
      </c>
      <c r="FH11">
        <f t="shared" si="76"/>
        <v>-1.4969368463306636E-2</v>
      </c>
      <c r="FI11">
        <f t="shared" si="77"/>
        <v>6.8640873002990608</v>
      </c>
    </row>
    <row r="12" spans="1:165" x14ac:dyDescent="0.25">
      <c r="A12" t="s">
        <v>303</v>
      </c>
      <c r="B12" t="s">
        <v>74</v>
      </c>
      <c r="C12">
        <v>137</v>
      </c>
      <c r="D12">
        <f>(C12/C31)*100</f>
        <v>17.125</v>
      </c>
      <c r="E12">
        <f t="shared" si="0"/>
        <v>0.17125000000000001</v>
      </c>
      <c r="F12">
        <f t="shared" si="1"/>
        <v>2.9326562500000004E-2</v>
      </c>
      <c r="G12">
        <f t="shared" si="2"/>
        <v>-1.7646308018398023</v>
      </c>
      <c r="H12">
        <f t="shared" si="3"/>
        <v>-0.30219302481506616</v>
      </c>
      <c r="I12">
        <f t="shared" si="4"/>
        <v>-9.1689315066563498E-2</v>
      </c>
      <c r="J12">
        <f t="shared" si="5"/>
        <v>3.8895303211680581</v>
      </c>
      <c r="L12" t="s">
        <v>303</v>
      </c>
      <c r="M12" t="s">
        <v>4</v>
      </c>
      <c r="N12">
        <v>133</v>
      </c>
      <c r="O12" s="15">
        <f>N12/N46*100</f>
        <v>14.074074074074074</v>
      </c>
      <c r="P12">
        <f t="shared" si="6"/>
        <v>0.14074074074074075</v>
      </c>
      <c r="Q12">
        <f t="shared" si="7"/>
        <v>1.9807956104252403E-2</v>
      </c>
      <c r="R12">
        <f t="shared" si="8"/>
        <v>-1.9608357992719889</v>
      </c>
      <c r="S12">
        <f t="shared" si="9"/>
        <v>-0.27596948286050216</v>
      </c>
      <c r="T12">
        <f t="shared" si="10"/>
        <v>-7.3834637901262393E-2</v>
      </c>
      <c r="U12">
        <f t="shared" si="11"/>
        <v>5.9843662715141974</v>
      </c>
      <c r="W12" t="s">
        <v>303</v>
      </c>
      <c r="X12" s="10" t="s">
        <v>188</v>
      </c>
      <c r="Y12">
        <v>13</v>
      </c>
      <c r="AC12" s="9">
        <f t="shared" si="80"/>
        <v>13</v>
      </c>
      <c r="AD12">
        <f>AC12/AC53*100</f>
        <v>1.1926605504587156</v>
      </c>
      <c r="AE12">
        <f t="shared" si="78"/>
        <v>1.1872146118721462E-2</v>
      </c>
      <c r="AF12">
        <f t="shared" si="12"/>
        <v>1.4094785346427307E-4</v>
      </c>
      <c r="AG12">
        <f t="shared" si="13"/>
        <v>-4.4335602847890643</v>
      </c>
      <c r="AH12">
        <f t="shared" si="14"/>
        <v>-5.2635875527176107E-2</v>
      </c>
      <c r="AI12">
        <f t="shared" si="15"/>
        <v>-1.3387133724621759E-2</v>
      </c>
      <c r="AJ12">
        <f t="shared" si="16"/>
        <v>7.1443782399249294</v>
      </c>
      <c r="AL12" t="s">
        <v>303</v>
      </c>
      <c r="AM12" s="1" t="s">
        <v>25</v>
      </c>
      <c r="AN12">
        <v>5</v>
      </c>
      <c r="AO12">
        <f>AN12/AN51*100</f>
        <v>0.47755491881566381</v>
      </c>
      <c r="AP12">
        <v>2</v>
      </c>
      <c r="AQ12">
        <v>2</v>
      </c>
      <c r="AR12">
        <v>1</v>
      </c>
      <c r="AU12">
        <f t="shared" si="17"/>
        <v>4.7709923664122139E-3</v>
      </c>
      <c r="AV12">
        <f t="shared" si="18"/>
        <v>2.2762368160363618E-5</v>
      </c>
      <c r="AW12">
        <f t="shared" si="19"/>
        <v>-5.3452009524468869</v>
      </c>
      <c r="AX12">
        <f t="shared" si="20"/>
        <v>-2.5501912941063392E-2</v>
      </c>
      <c r="AY12">
        <f t="shared" si="21"/>
        <v>-6.5875972002504132E-3</v>
      </c>
      <c r="AZ12">
        <f t="shared" si="22"/>
        <v>6.7580791631521038</v>
      </c>
      <c r="BC12" t="s">
        <v>315</v>
      </c>
      <c r="BD12" s="27" t="s">
        <v>636</v>
      </c>
      <c r="BE12" s="9">
        <v>15</v>
      </c>
      <c r="BF12">
        <f>BE12/BE59*100</f>
        <v>0.55005500550055009</v>
      </c>
      <c r="BG12">
        <f t="shared" si="23"/>
        <v>5.5005500550055009E-3</v>
      </c>
      <c r="BH12">
        <f t="shared" si="24"/>
        <v>3.0256050907621021E-5</v>
      </c>
      <c r="BI12">
        <f t="shared" si="25"/>
        <v>-5.2029071817433783</v>
      </c>
      <c r="BJ12">
        <f t="shared" si="26"/>
        <v>-2.8618851384727056E-2</v>
      </c>
      <c r="BK12">
        <f t="shared" si="27"/>
        <v>-7.1416201403444908E-3</v>
      </c>
      <c r="BL12">
        <f t="shared" si="28"/>
        <v>6.8259753385975239</v>
      </c>
      <c r="BO12" t="s">
        <v>303</v>
      </c>
      <c r="BP12" t="s">
        <v>247</v>
      </c>
      <c r="BQ12">
        <v>67</v>
      </c>
      <c r="BR12">
        <v>2</v>
      </c>
      <c r="BS12">
        <v>1</v>
      </c>
      <c r="BU12">
        <f t="shared" si="29"/>
        <v>70</v>
      </c>
      <c r="BV12">
        <f>BU12/BU67*100</f>
        <v>1.3693270735524257</v>
      </c>
      <c r="BW12">
        <f t="shared" si="30"/>
        <v>1.3693270735524257E-2</v>
      </c>
      <c r="BX12">
        <f t="shared" si="31"/>
        <v>1.8750566343636501E-4</v>
      </c>
      <c r="BY12">
        <f t="shared" si="32"/>
        <v>-4.2908507540080114</v>
      </c>
      <c r="BZ12">
        <f t="shared" si="33"/>
        <v>-5.8755781060360092E-2</v>
      </c>
      <c r="CA12">
        <f t="shared" si="34"/>
        <v>-1.4181479710541178E-2</v>
      </c>
      <c r="CB12">
        <f t="shared" si="35"/>
        <v>7.2605091805186834</v>
      </c>
      <c r="CD12" t="s">
        <v>303</v>
      </c>
      <c r="CE12" t="s">
        <v>247</v>
      </c>
      <c r="CG12">
        <v>5</v>
      </c>
      <c r="CJ12">
        <f t="shared" si="36"/>
        <v>5</v>
      </c>
      <c r="CK12">
        <f>CJ12/CJ56*100</f>
        <v>8.9605734767025089E-2</v>
      </c>
      <c r="CL12">
        <f t="shared" si="37"/>
        <v>8.960573476702509E-4</v>
      </c>
      <c r="CM12">
        <f t="shared" si="38"/>
        <v>8.0291877031384485E-7</v>
      </c>
      <c r="CN12">
        <f t="shared" si="39"/>
        <v>-7.0175061429412562</v>
      </c>
      <c r="CO12">
        <f t="shared" si="40"/>
        <v>-6.2880879417036347E-3</v>
      </c>
      <c r="CP12">
        <f t="shared" si="41"/>
        <v>-1.591419914730337E-3</v>
      </c>
      <c r="CQ12">
        <f t="shared" si="42"/>
        <v>5.9117109920543012</v>
      </c>
      <c r="CT12" t="s">
        <v>304</v>
      </c>
      <c r="CU12" t="s">
        <v>167</v>
      </c>
      <c r="CV12">
        <v>6</v>
      </c>
      <c r="CW12">
        <v>6</v>
      </c>
      <c r="CX12">
        <v>6</v>
      </c>
      <c r="CY12">
        <v>6</v>
      </c>
      <c r="CZ12">
        <f t="shared" si="43"/>
        <v>24</v>
      </c>
      <c r="DA12">
        <f>CZ12/CZ72*100</f>
        <v>0.40214477211796246</v>
      </c>
      <c r="DB12">
        <f t="shared" si="81"/>
        <v>4.0214477211796247E-3</v>
      </c>
      <c r="DC12" s="2">
        <f t="shared" si="44"/>
        <v>1.6172041774180798E-5</v>
      </c>
      <c r="DD12">
        <f t="shared" si="45"/>
        <v>-11.032226623071303</v>
      </c>
      <c r="DE12">
        <f t="shared" si="46"/>
        <v>-4.436552261288728E-2</v>
      </c>
      <c r="DF12">
        <f t="shared" si="47"/>
        <v>-1.051438359940988E-2</v>
      </c>
      <c r="DG12">
        <f t="shared" si="48"/>
        <v>7.7063160745129649</v>
      </c>
      <c r="DI12" t="s">
        <v>303</v>
      </c>
      <c r="DJ12" t="s">
        <v>196</v>
      </c>
      <c r="DK12">
        <v>3</v>
      </c>
      <c r="DL12">
        <f t="shared" si="49"/>
        <v>0.21739130434782608</v>
      </c>
      <c r="DM12">
        <f t="shared" si="50"/>
        <v>2.1739130434782609E-3</v>
      </c>
      <c r="DN12">
        <f t="shared" si="51"/>
        <v>4.7258979206049154E-6</v>
      </c>
      <c r="DO12">
        <f t="shared" si="52"/>
        <v>-6.131226489483141</v>
      </c>
      <c r="DP12">
        <f t="shared" si="53"/>
        <v>-1.3328753238006828E-2</v>
      </c>
      <c r="DQ12">
        <f t="shared" si="54"/>
        <v>-3.7194594104054783E-3</v>
      </c>
      <c r="DR12">
        <f t="shared" si="55"/>
        <v>5.2558124663256702</v>
      </c>
      <c r="DT12" t="s">
        <v>303</v>
      </c>
      <c r="DU12" t="s">
        <v>196</v>
      </c>
      <c r="DV12">
        <v>1</v>
      </c>
      <c r="DW12">
        <v>3</v>
      </c>
      <c r="DX12">
        <v>6</v>
      </c>
      <c r="DY12">
        <v>2</v>
      </c>
      <c r="DZ12">
        <f t="shared" si="56"/>
        <v>12</v>
      </c>
      <c r="EA12">
        <f t="shared" si="57"/>
        <v>1.410105757931845</v>
      </c>
      <c r="EB12">
        <f t="shared" si="58"/>
        <v>1.4101057579318449E-2</v>
      </c>
      <c r="EC12">
        <f t="shared" si="59"/>
        <v>1.9883982485525428E-4</v>
      </c>
      <c r="ED12">
        <f t="shared" si="60"/>
        <v>-4.2615054787853737</v>
      </c>
      <c r="EE12">
        <f t="shared" si="61"/>
        <v>-6.0091734130933591E-2</v>
      </c>
      <c r="EF12">
        <f t="shared" si="79"/>
        <v>-1.6077326320385811E-2</v>
      </c>
      <c r="EH12" t="s">
        <v>303</v>
      </c>
      <c r="EI12" t="s">
        <v>358</v>
      </c>
      <c r="EJ12">
        <v>4</v>
      </c>
      <c r="EK12">
        <v>10</v>
      </c>
      <c r="EL12">
        <v>26</v>
      </c>
      <c r="EM12">
        <f t="shared" si="62"/>
        <v>40</v>
      </c>
      <c r="EN12">
        <f t="shared" si="63"/>
        <v>5.4127198917456019</v>
      </c>
      <c r="EO12">
        <f t="shared" si="64"/>
        <v>5.4127198917456022E-2</v>
      </c>
      <c r="EP12">
        <f t="shared" si="65"/>
        <v>2.9297536626498523E-3</v>
      </c>
      <c r="EQ12">
        <f t="shared" si="66"/>
        <v>-2.9164184668342656</v>
      </c>
      <c r="ER12">
        <f t="shared" si="67"/>
        <v>-0.15785756248088043</v>
      </c>
      <c r="ES12">
        <f t="shared" si="68"/>
        <v>-4.1715024285775573E-2</v>
      </c>
      <c r="ET12">
        <f t="shared" si="69"/>
        <v>6.5099258980626384</v>
      </c>
      <c r="EV12" t="s">
        <v>303</v>
      </c>
      <c r="EW12" t="s">
        <v>358</v>
      </c>
      <c r="EZ12">
        <v>1</v>
      </c>
      <c r="FA12">
        <v>1</v>
      </c>
      <c r="FB12">
        <f t="shared" si="70"/>
        <v>2</v>
      </c>
      <c r="FC12">
        <f t="shared" si="71"/>
        <v>0.3289473684210526</v>
      </c>
      <c r="FD12">
        <f t="shared" si="72"/>
        <v>3.2894736842105261E-3</v>
      </c>
      <c r="FE12">
        <f t="shared" si="73"/>
        <v>1.0820637119113572E-5</v>
      </c>
      <c r="FF12">
        <f t="shared" si="74"/>
        <v>-5.7170277014062219</v>
      </c>
      <c r="FG12">
        <f t="shared" si="75"/>
        <v>-1.8806012175678361E-2</v>
      </c>
      <c r="FH12">
        <f t="shared" si="76"/>
        <v>-4.9402888294446745E-3</v>
      </c>
      <c r="FI12">
        <f t="shared" si="77"/>
        <v>6.8640873002990608</v>
      </c>
    </row>
    <row r="13" spans="1:165" x14ac:dyDescent="0.25">
      <c r="A13" t="s">
        <v>574</v>
      </c>
      <c r="B13" t="s">
        <v>117</v>
      </c>
      <c r="C13">
        <v>46</v>
      </c>
      <c r="D13">
        <f>(C13/C31)*100</f>
        <v>5.75</v>
      </c>
      <c r="E13">
        <f t="shared" si="0"/>
        <v>5.7500000000000002E-2</v>
      </c>
      <c r="F13">
        <f t="shared" si="1"/>
        <v>3.3062500000000002E-3</v>
      </c>
      <c r="G13">
        <f t="shared" si="2"/>
        <v>-2.855970331178832</v>
      </c>
      <c r="H13">
        <f t="shared" si="3"/>
        <v>-0.16421829404278285</v>
      </c>
      <c r="I13">
        <f t="shared" si="4"/>
        <v>-4.9825977655827081E-2</v>
      </c>
      <c r="J13">
        <f t="shared" si="5"/>
        <v>3.8895303211680581</v>
      </c>
      <c r="L13" t="s">
        <v>315</v>
      </c>
      <c r="M13" s="1" t="s">
        <v>51</v>
      </c>
      <c r="N13">
        <v>61</v>
      </c>
      <c r="O13">
        <f>N13/N46*100</f>
        <v>6.4550264550264549</v>
      </c>
      <c r="P13">
        <f t="shared" si="6"/>
        <v>6.4550264550264552E-2</v>
      </c>
      <c r="Q13">
        <f t="shared" si="7"/>
        <v>4.1667366535091408E-3</v>
      </c>
      <c r="R13">
        <f t="shared" si="8"/>
        <v>-2.7403110633204313</v>
      </c>
      <c r="S13">
        <f t="shared" si="9"/>
        <v>-0.17688780408735061</v>
      </c>
      <c r="T13">
        <f t="shared" si="10"/>
        <v>-4.7325692785172221E-2</v>
      </c>
      <c r="U13">
        <f t="shared" si="11"/>
        <v>5.9843662715141974</v>
      </c>
      <c r="W13" t="s">
        <v>303</v>
      </c>
      <c r="X13" s="10" t="s">
        <v>189</v>
      </c>
      <c r="Y13">
        <v>3</v>
      </c>
      <c r="Z13">
        <v>2</v>
      </c>
      <c r="AC13" s="9">
        <f t="shared" si="80"/>
        <v>5</v>
      </c>
      <c r="AD13">
        <f>AC13/AC53*100</f>
        <v>0.45871559633027525</v>
      </c>
      <c r="AE13">
        <f t="shared" si="78"/>
        <v>4.5662100456621002E-3</v>
      </c>
      <c r="AF13">
        <f t="shared" si="12"/>
        <v>2.0850274181105478E-5</v>
      </c>
      <c r="AG13">
        <f t="shared" si="13"/>
        <v>-5.389071729816501</v>
      </c>
      <c r="AH13">
        <f t="shared" si="14"/>
        <v>-2.4607633469481738E-2</v>
      </c>
      <c r="AI13">
        <f t="shared" si="15"/>
        <v>-6.258576999110547E-3</v>
      </c>
      <c r="AJ13">
        <f t="shared" si="16"/>
        <v>7.1443782399249294</v>
      </c>
      <c r="AL13" t="s">
        <v>303</v>
      </c>
      <c r="AM13" s="1" t="s">
        <v>11</v>
      </c>
      <c r="AN13">
        <v>34</v>
      </c>
      <c r="AO13">
        <f>AN13/AN51*100</f>
        <v>3.2473734479465137</v>
      </c>
      <c r="AP13">
        <v>3</v>
      </c>
      <c r="AQ13">
        <v>11</v>
      </c>
      <c r="AR13">
        <v>18</v>
      </c>
      <c r="AS13">
        <v>2</v>
      </c>
      <c r="AU13">
        <f t="shared" si="17"/>
        <v>3.2442748091603052E-2</v>
      </c>
      <c r="AV13">
        <f t="shared" si="18"/>
        <v>1.0525319037352134E-3</v>
      </c>
      <c r="AW13">
        <f t="shared" si="19"/>
        <v>-3.4282783402648263</v>
      </c>
      <c r="AX13">
        <f t="shared" si="20"/>
        <v>-0.11122277058111077</v>
      </c>
      <c r="AY13">
        <f t="shared" si="21"/>
        <v>-2.8730817714636397E-2</v>
      </c>
      <c r="AZ13">
        <f t="shared" si="22"/>
        <v>6.7580791631521038</v>
      </c>
      <c r="BC13" t="s">
        <v>303</v>
      </c>
      <c r="BD13" s="27" t="s">
        <v>637</v>
      </c>
      <c r="BE13" s="9">
        <v>5</v>
      </c>
      <c r="BF13">
        <f>BE13/BE59*100</f>
        <v>0.18335166850018336</v>
      </c>
      <c r="BG13">
        <f t="shared" si="23"/>
        <v>1.8335166850018336E-3</v>
      </c>
      <c r="BH13">
        <f t="shared" si="24"/>
        <v>3.3617834341801131E-6</v>
      </c>
      <c r="BI13">
        <f t="shared" si="25"/>
        <v>-6.3015194704114883</v>
      </c>
      <c r="BJ13">
        <f t="shared" si="26"/>
        <v>-1.1553941089863382E-2</v>
      </c>
      <c r="BK13">
        <f t="shared" si="27"/>
        <v>-2.8831995134422847E-3</v>
      </c>
      <c r="BL13">
        <f t="shared" si="28"/>
        <v>6.8259753385975239</v>
      </c>
      <c r="BO13" t="s">
        <v>315</v>
      </c>
      <c r="BP13" t="s">
        <v>165</v>
      </c>
      <c r="BQ13">
        <v>7</v>
      </c>
      <c r="BS13">
        <v>6</v>
      </c>
      <c r="BT13">
        <v>3</v>
      </c>
      <c r="BU13">
        <f t="shared" si="29"/>
        <v>16</v>
      </c>
      <c r="BV13">
        <f>BU13/BU67*100</f>
        <v>0.3129890453834116</v>
      </c>
      <c r="BW13">
        <f t="shared" si="30"/>
        <v>3.1298904538341159E-3</v>
      </c>
      <c r="BX13">
        <f t="shared" si="31"/>
        <v>9.7962142530019273E-6</v>
      </c>
      <c r="BY13">
        <f t="shared" si="32"/>
        <v>-5.7667572738175892</v>
      </c>
      <c r="BZ13">
        <f t="shared" si="33"/>
        <v>-1.8049318540900122E-2</v>
      </c>
      <c r="CA13">
        <f t="shared" si="34"/>
        <v>-4.3564401673754386E-3</v>
      </c>
      <c r="CB13">
        <f t="shared" si="35"/>
        <v>7.2605091805186834</v>
      </c>
      <c r="CD13" t="s">
        <v>315</v>
      </c>
      <c r="CE13" t="s">
        <v>167</v>
      </c>
      <c r="CF13">
        <v>4</v>
      </c>
      <c r="CG13">
        <v>5</v>
      </c>
      <c r="CI13">
        <v>1</v>
      </c>
      <c r="CJ13">
        <f t="shared" si="36"/>
        <v>10</v>
      </c>
      <c r="CK13">
        <f>CJ13/CJ56*100</f>
        <v>0.17921146953405018</v>
      </c>
      <c r="CL13">
        <f t="shared" si="37"/>
        <v>1.7921146953405018E-3</v>
      </c>
      <c r="CM13">
        <f t="shared" si="38"/>
        <v>3.2116750812553794E-6</v>
      </c>
      <c r="CN13">
        <f t="shared" si="39"/>
        <v>-6.3243589623813108</v>
      </c>
      <c r="CO13">
        <f t="shared" si="40"/>
        <v>-1.1333976635091956E-2</v>
      </c>
      <c r="CP13">
        <f t="shared" si="41"/>
        <v>-2.8684579950844112E-3</v>
      </c>
      <c r="CQ13">
        <f t="shared" si="42"/>
        <v>5.9117109920543012</v>
      </c>
      <c r="CT13" t="s">
        <v>303</v>
      </c>
      <c r="CU13" t="s">
        <v>72</v>
      </c>
      <c r="CV13">
        <v>6</v>
      </c>
      <c r="CW13">
        <v>1</v>
      </c>
      <c r="CX13">
        <v>8</v>
      </c>
      <c r="CY13">
        <v>12</v>
      </c>
      <c r="CZ13">
        <f t="shared" si="43"/>
        <v>27</v>
      </c>
      <c r="DA13">
        <f>CZ13/CZ72*100</f>
        <v>0.4524128686327078</v>
      </c>
      <c r="DB13">
        <f t="shared" si="81"/>
        <v>4.5241286863270782E-3</v>
      </c>
      <c r="DC13" s="2">
        <f t="shared" si="44"/>
        <v>2.0467740370447572E-5</v>
      </c>
      <c r="DD13">
        <f t="shared" si="45"/>
        <v>-10.796660551758535</v>
      </c>
      <c r="DE13">
        <f t="shared" si="46"/>
        <v>-4.8845481718746725E-2</v>
      </c>
      <c r="DF13">
        <f t="shared" si="47"/>
        <v>-1.1576109141554013E-2</v>
      </c>
      <c r="DG13">
        <f t="shared" si="48"/>
        <v>7.7063160745129649</v>
      </c>
      <c r="DI13" t="s">
        <v>303</v>
      </c>
      <c r="DJ13" t="s">
        <v>358</v>
      </c>
      <c r="DK13">
        <v>1</v>
      </c>
      <c r="DL13">
        <f t="shared" si="49"/>
        <v>7.2463768115942032E-2</v>
      </c>
      <c r="DM13">
        <f t="shared" si="50"/>
        <v>7.246376811594203E-4</v>
      </c>
      <c r="DN13">
        <f t="shared" si="51"/>
        <v>5.2509976895610164E-7</v>
      </c>
      <c r="DO13">
        <f t="shared" si="52"/>
        <v>-7.2298387781512501</v>
      </c>
      <c r="DP13">
        <f t="shared" si="53"/>
        <v>-5.2390136073559787E-3</v>
      </c>
      <c r="DQ13">
        <f t="shared" si="54"/>
        <v>-1.4619745834559778E-3</v>
      </c>
      <c r="DR13">
        <f t="shared" si="55"/>
        <v>5.2558124663256702</v>
      </c>
      <c r="DT13" t="s">
        <v>303</v>
      </c>
      <c r="DU13" t="s">
        <v>358</v>
      </c>
      <c r="DW13">
        <v>1</v>
      </c>
      <c r="DX13">
        <v>1</v>
      </c>
      <c r="DZ13">
        <f t="shared" si="56"/>
        <v>2</v>
      </c>
      <c r="EA13">
        <f t="shared" si="57"/>
        <v>0.23501762632197415</v>
      </c>
      <c r="EB13">
        <f t="shared" si="58"/>
        <v>2.3501762632197414E-3</v>
      </c>
      <c r="EC13">
        <f t="shared" si="59"/>
        <v>5.5233284682015071E-6</v>
      </c>
      <c r="ED13">
        <f t="shared" si="60"/>
        <v>-6.0532649480134291</v>
      </c>
      <c r="EE13">
        <f t="shared" si="61"/>
        <v>-1.4226239595801243E-2</v>
      </c>
      <c r="EF13">
        <f t="shared" si="79"/>
        <v>-3.8061789961882854E-3</v>
      </c>
      <c r="EH13" t="s">
        <v>303</v>
      </c>
      <c r="EI13" t="s">
        <v>359</v>
      </c>
      <c r="EJ13">
        <v>30</v>
      </c>
      <c r="EK13">
        <v>37</v>
      </c>
      <c r="EL13">
        <v>6</v>
      </c>
      <c r="EM13">
        <f t="shared" si="62"/>
        <v>73</v>
      </c>
      <c r="EN13">
        <f t="shared" si="63"/>
        <v>9.8782138024357238</v>
      </c>
      <c r="EO13">
        <f t="shared" si="64"/>
        <v>9.8782138024357244E-2</v>
      </c>
      <c r="EP13">
        <f t="shared" si="65"/>
        <v>9.7579107926631659E-3</v>
      </c>
      <c r="EQ13">
        <f t="shared" si="66"/>
        <v>-2.3148384797998105</v>
      </c>
      <c r="ER13">
        <f t="shared" si="67"/>
        <v>-0.22866469421567817</v>
      </c>
      <c r="ES13">
        <f t="shared" si="68"/>
        <v>-6.0426330690756647E-2</v>
      </c>
      <c r="ET13">
        <f t="shared" si="69"/>
        <v>6.5099258980626384</v>
      </c>
      <c r="EV13" t="s">
        <v>303</v>
      </c>
      <c r="EW13" t="s">
        <v>359</v>
      </c>
      <c r="EX13">
        <v>8</v>
      </c>
      <c r="EY13">
        <v>12</v>
      </c>
      <c r="FA13">
        <v>5</v>
      </c>
      <c r="FB13">
        <f t="shared" si="70"/>
        <v>25</v>
      </c>
      <c r="FC13">
        <f t="shared" si="71"/>
        <v>4.1118421052631584</v>
      </c>
      <c r="FD13">
        <f t="shared" si="72"/>
        <v>4.1118421052631582E-2</v>
      </c>
      <c r="FE13">
        <f t="shared" si="73"/>
        <v>1.6907245498614962E-3</v>
      </c>
      <c r="FF13">
        <f t="shared" si="74"/>
        <v>-3.1912990570979662</v>
      </c>
      <c r="FG13">
        <f t="shared" si="75"/>
        <v>-0.13122117833462033</v>
      </c>
      <c r="FH13">
        <f t="shared" si="76"/>
        <v>-3.4471450696575347E-2</v>
      </c>
      <c r="FI13">
        <f t="shared" si="77"/>
        <v>6.8640873002990608</v>
      </c>
    </row>
    <row r="14" spans="1:165" x14ac:dyDescent="0.25">
      <c r="A14" t="s">
        <v>303</v>
      </c>
      <c r="B14" t="s">
        <v>109</v>
      </c>
      <c r="C14">
        <v>19</v>
      </c>
      <c r="D14">
        <f>(C14/C31)*100</f>
        <v>2.375</v>
      </c>
      <c r="E14">
        <f t="shared" si="0"/>
        <v>2.375E-2</v>
      </c>
      <c r="F14">
        <f t="shared" si="1"/>
        <v>5.640625E-4</v>
      </c>
      <c r="G14">
        <f t="shared" si="2"/>
        <v>-3.7401727485014868</v>
      </c>
      <c r="H14">
        <f t="shared" si="3"/>
        <v>-8.8829102776910307E-2</v>
      </c>
      <c r="I14">
        <f t="shared" si="4"/>
        <v>-2.6951911271203565E-2</v>
      </c>
      <c r="J14">
        <f>((27-1)/(LN(800)))</f>
        <v>3.8895303211680581</v>
      </c>
      <c r="L14" t="s">
        <v>575</v>
      </c>
      <c r="M14" t="s">
        <v>76</v>
      </c>
      <c r="N14">
        <v>16</v>
      </c>
      <c r="O14">
        <f>N14/N46*100</f>
        <v>1.6931216931216932</v>
      </c>
      <c r="P14">
        <f t="shared" si="6"/>
        <v>1.6931216931216932E-2</v>
      </c>
      <c r="Q14">
        <f t="shared" si="7"/>
        <v>2.8666610677192689E-4</v>
      </c>
      <c r="R14">
        <f t="shared" si="8"/>
        <v>-4.0785962052539615</v>
      </c>
      <c r="S14">
        <f t="shared" si="9"/>
        <v>-6.9055597125993004E-2</v>
      </c>
      <c r="T14">
        <f t="shared" si="10"/>
        <v>-1.8475575473069435E-2</v>
      </c>
      <c r="U14">
        <f t="shared" si="11"/>
        <v>5.9843662715141974</v>
      </c>
      <c r="W14" t="s">
        <v>315</v>
      </c>
      <c r="X14" s="10" t="s">
        <v>190</v>
      </c>
      <c r="Y14">
        <v>25</v>
      </c>
      <c r="Z14">
        <v>24</v>
      </c>
      <c r="AA14">
        <v>21</v>
      </c>
      <c r="AB14">
        <v>14</v>
      </c>
      <c r="AC14" s="9">
        <f>SUM(Y14:AB14)</f>
        <v>84</v>
      </c>
      <c r="AD14">
        <f>AC14/AC53*100</f>
        <v>7.7064220183486238</v>
      </c>
      <c r="AE14">
        <f t="shared" si="78"/>
        <v>7.6712328767123292E-2</v>
      </c>
      <c r="AF14">
        <f t="shared" si="12"/>
        <v>5.8847813848752119E-3</v>
      </c>
      <c r="AG14">
        <f t="shared" si="13"/>
        <v>-2.5676928434072877</v>
      </c>
      <c r="AH14">
        <f t="shared" si="14"/>
        <v>-0.19697369757644947</v>
      </c>
      <c r="AI14">
        <f t="shared" si="15"/>
        <v>-5.0097261673317954E-2</v>
      </c>
      <c r="AJ14">
        <f t="shared" si="16"/>
        <v>7.1443782399249294</v>
      </c>
      <c r="AL14" t="s">
        <v>303</v>
      </c>
      <c r="AM14" s="1" t="s">
        <v>39</v>
      </c>
      <c r="AN14">
        <v>145</v>
      </c>
      <c r="AO14">
        <f>AN14/AN51*100</f>
        <v>13.849092645654251</v>
      </c>
      <c r="AP14">
        <v>21</v>
      </c>
      <c r="AQ14">
        <v>11</v>
      </c>
      <c r="AR14">
        <v>29</v>
      </c>
      <c r="AS14">
        <v>65</v>
      </c>
      <c r="AT14">
        <v>19</v>
      </c>
      <c r="AU14">
        <f t="shared" si="17"/>
        <v>0.13835877862595419</v>
      </c>
      <c r="AV14">
        <f t="shared" si="18"/>
        <v>1.9143151622865798E-2</v>
      </c>
      <c r="AW14">
        <f t="shared" si="19"/>
        <v>-1.9779051224604132</v>
      </c>
      <c r="AX14">
        <f t="shared" si="20"/>
        <v>-0.27366053698164111</v>
      </c>
      <c r="AY14">
        <f t="shared" si="21"/>
        <v>-7.0691378776391936E-2</v>
      </c>
      <c r="AZ14">
        <f t="shared" si="22"/>
        <v>6.7580791631521038</v>
      </c>
      <c r="BC14" t="s">
        <v>315</v>
      </c>
      <c r="BD14" s="27" t="s">
        <v>638</v>
      </c>
      <c r="BE14" s="34">
        <v>18</v>
      </c>
      <c r="BF14" s="21">
        <f>BE14/BE59*100</f>
        <v>0.66006600660066006</v>
      </c>
      <c r="BG14">
        <f t="shared" si="23"/>
        <v>6.6006600660066007E-3</v>
      </c>
      <c r="BH14">
        <f t="shared" si="24"/>
        <v>4.3568713306974265E-5</v>
      </c>
      <c r="BI14">
        <f t="shared" si="25"/>
        <v>-5.0205856249494234</v>
      </c>
      <c r="BJ14">
        <f t="shared" si="26"/>
        <v>-3.3139179042570452E-2</v>
      </c>
      <c r="BK14">
        <f t="shared" si="27"/>
        <v>-8.269634071030707E-3</v>
      </c>
      <c r="BL14">
        <f t="shared" si="28"/>
        <v>6.8259753385975239</v>
      </c>
      <c r="BO14" t="s">
        <v>319</v>
      </c>
      <c r="BP14" t="s">
        <v>166</v>
      </c>
      <c r="BQ14">
        <v>4</v>
      </c>
      <c r="BU14">
        <f t="shared" si="29"/>
        <v>4</v>
      </c>
      <c r="BV14">
        <f>BU14/BU67*100</f>
        <v>7.82472613458529E-2</v>
      </c>
      <c r="BW14">
        <f t="shared" si="30"/>
        <v>7.8247261345852897E-4</v>
      </c>
      <c r="BX14">
        <f t="shared" si="31"/>
        <v>6.1226339081262045E-7</v>
      </c>
      <c r="BY14">
        <f t="shared" si="32"/>
        <v>-7.15305163493748</v>
      </c>
      <c r="BZ14">
        <f t="shared" si="33"/>
        <v>-5.5970670069933337E-3</v>
      </c>
      <c r="CA14">
        <f t="shared" si="34"/>
        <v>-1.3509256581352123E-3</v>
      </c>
      <c r="CB14">
        <f t="shared" si="35"/>
        <v>7.2605091805186834</v>
      </c>
      <c r="CD14" t="s">
        <v>303</v>
      </c>
      <c r="CE14" t="s">
        <v>72</v>
      </c>
      <c r="CF14">
        <v>12</v>
      </c>
      <c r="CG14">
        <v>14</v>
      </c>
      <c r="CH14">
        <v>2</v>
      </c>
      <c r="CI14">
        <v>3</v>
      </c>
      <c r="CJ14">
        <f t="shared" si="36"/>
        <v>31</v>
      </c>
      <c r="CK14">
        <f>CJ14/CJ56*100</f>
        <v>0.55555555555555558</v>
      </c>
      <c r="CL14">
        <f t="shared" si="37"/>
        <v>5.5555555555555558E-3</v>
      </c>
      <c r="CM14">
        <f t="shared" si="38"/>
        <v>3.0864197530864198E-5</v>
      </c>
      <c r="CN14">
        <f t="shared" si="39"/>
        <v>-5.1929568508902104</v>
      </c>
      <c r="CO14">
        <f t="shared" si="40"/>
        <v>-2.8849760282723392E-2</v>
      </c>
      <c r="CP14">
        <f t="shared" si="41"/>
        <v>-7.3014378098349778E-3</v>
      </c>
      <c r="CQ14">
        <f t="shared" si="42"/>
        <v>5.9117109920543012</v>
      </c>
      <c r="CT14" t="s">
        <v>303</v>
      </c>
      <c r="CU14" s="1" t="s">
        <v>196</v>
      </c>
      <c r="CV14">
        <v>2</v>
      </c>
      <c r="CW14">
        <v>12</v>
      </c>
      <c r="CY14">
        <v>12</v>
      </c>
      <c r="CZ14">
        <f t="shared" si="43"/>
        <v>26</v>
      </c>
      <c r="DA14">
        <f>CZ14/CZ72*100</f>
        <v>0.43565683646112602</v>
      </c>
      <c r="DB14">
        <f t="shared" si="81"/>
        <v>4.3565683646112604E-3</v>
      </c>
      <c r="DC14" s="2">
        <f t="shared" si="44"/>
        <v>1.8979687915531633E-5</v>
      </c>
      <c r="DD14">
        <f t="shared" si="45"/>
        <v>-10.87214120772423</v>
      </c>
      <c r="DE14">
        <f t="shared" si="46"/>
        <v>-4.7365226441157843E-2</v>
      </c>
      <c r="DF14">
        <f t="shared" si="47"/>
        <v>-1.1225296823858031E-2</v>
      </c>
      <c r="DG14">
        <f t="shared" si="48"/>
        <v>7.7063160745129649</v>
      </c>
      <c r="DI14" t="s">
        <v>303</v>
      </c>
      <c r="DJ14" t="s">
        <v>359</v>
      </c>
      <c r="DK14">
        <v>7</v>
      </c>
      <c r="DL14">
        <f t="shared" si="49"/>
        <v>0.50724637681159412</v>
      </c>
      <c r="DM14">
        <f t="shared" si="50"/>
        <v>5.0724637681159417E-3</v>
      </c>
      <c r="DN14">
        <f t="shared" si="51"/>
        <v>2.5729888678848978E-5</v>
      </c>
      <c r="DO14">
        <f t="shared" si="52"/>
        <v>-5.2839286290959375</v>
      </c>
      <c r="DP14">
        <f t="shared" si="53"/>
        <v>-2.6802536524399682E-2</v>
      </c>
      <c r="DQ14">
        <f t="shared" si="54"/>
        <v>-7.4793902263976982E-3</v>
      </c>
      <c r="DR14">
        <f t="shared" si="55"/>
        <v>5.2558124663256702</v>
      </c>
      <c r="DT14" t="s">
        <v>303</v>
      </c>
      <c r="DU14" t="s">
        <v>359</v>
      </c>
      <c r="DV14">
        <v>12</v>
      </c>
      <c r="DW14">
        <v>12</v>
      </c>
      <c r="DX14">
        <v>42</v>
      </c>
      <c r="DY14">
        <v>20</v>
      </c>
      <c r="DZ14">
        <f t="shared" si="56"/>
        <v>86</v>
      </c>
      <c r="EA14">
        <f t="shared" si="57"/>
        <v>10.105757931844888</v>
      </c>
      <c r="EB14">
        <f t="shared" si="58"/>
        <v>0.10105757931844889</v>
      </c>
      <c r="EC14">
        <f t="shared" si="59"/>
        <v>1.0212634337704588E-2</v>
      </c>
      <c r="ED14">
        <f t="shared" si="60"/>
        <v>-2.2920648323198662</v>
      </c>
      <c r="EE14">
        <f t="shared" si="61"/>
        <v>-0.23163052359519212</v>
      </c>
      <c r="EF14">
        <f t="shared" si="79"/>
        <v>-6.1971909572247068E-2</v>
      </c>
      <c r="EH14" t="s">
        <v>303</v>
      </c>
      <c r="EI14" t="s">
        <v>360</v>
      </c>
      <c r="EJ14">
        <v>4</v>
      </c>
      <c r="EK14">
        <v>1</v>
      </c>
      <c r="EL14">
        <v>12</v>
      </c>
      <c r="EM14">
        <f t="shared" si="62"/>
        <v>17</v>
      </c>
      <c r="EN14">
        <f t="shared" si="63"/>
        <v>2.3004059539918806</v>
      </c>
      <c r="EO14">
        <f t="shared" si="64"/>
        <v>2.3004059539918808E-2</v>
      </c>
      <c r="EP14">
        <f t="shared" si="65"/>
        <v>5.2918675531612948E-4</v>
      </c>
      <c r="EQ14">
        <f t="shared" si="66"/>
        <v>-3.7720845768919857</v>
      </c>
      <c r="ER14">
        <f t="shared" si="67"/>
        <v>-8.6773258196432682E-2</v>
      </c>
      <c r="ES14">
        <f t="shared" si="68"/>
        <v>-2.2930472991805409E-2</v>
      </c>
      <c r="ET14">
        <f t="shared" si="69"/>
        <v>6.5099258980626384</v>
      </c>
      <c r="EV14" t="s">
        <v>303</v>
      </c>
      <c r="EW14" t="s">
        <v>360</v>
      </c>
      <c r="EX14">
        <v>4</v>
      </c>
      <c r="EY14">
        <v>1</v>
      </c>
      <c r="EZ14">
        <v>1</v>
      </c>
      <c r="FA14">
        <v>3</v>
      </c>
      <c r="FB14">
        <f t="shared" si="70"/>
        <v>9</v>
      </c>
      <c r="FC14">
        <f t="shared" si="71"/>
        <v>1.4802631578947367</v>
      </c>
      <c r="FD14">
        <f t="shared" si="72"/>
        <v>1.4802631578947368E-2</v>
      </c>
      <c r="FE14">
        <f t="shared" si="73"/>
        <v>2.1911790166204983E-4</v>
      </c>
      <c r="FF14">
        <f t="shared" si="74"/>
        <v>-4.2129503046299472</v>
      </c>
      <c r="FG14">
        <f t="shared" si="75"/>
        <v>-6.2362751219851187E-2</v>
      </c>
      <c r="FH14">
        <f t="shared" si="76"/>
        <v>-1.6382527052881415E-2</v>
      </c>
      <c r="FI14">
        <f t="shared" si="77"/>
        <v>6.8640873002990608</v>
      </c>
    </row>
    <row r="15" spans="1:165" x14ac:dyDescent="0.25">
      <c r="A15" t="s">
        <v>303</v>
      </c>
      <c r="B15" t="s">
        <v>118</v>
      </c>
      <c r="C15">
        <v>53</v>
      </c>
      <c r="D15">
        <f>(C15/C31)*100</f>
        <v>6.625</v>
      </c>
      <c r="E15">
        <f t="shared" si="0"/>
        <v>6.6250000000000003E-2</v>
      </c>
      <c r="F15">
        <f t="shared" si="1"/>
        <v>4.3890625000000006E-3</v>
      </c>
      <c r="G15">
        <f t="shared" si="2"/>
        <v>-2.7143198141158056</v>
      </c>
      <c r="H15">
        <f t="shared" si="3"/>
        <v>-0.17982368768517212</v>
      </c>
      <c r="I15">
        <f t="shared" si="4"/>
        <v>-5.4560858135912341E-2</v>
      </c>
      <c r="J15">
        <f t="shared" si="5"/>
        <v>3.8895303211680581</v>
      </c>
      <c r="L15" t="s">
        <v>303</v>
      </c>
      <c r="M15" t="s">
        <v>77</v>
      </c>
      <c r="N15">
        <v>2</v>
      </c>
      <c r="O15">
        <f>N15/N46*100</f>
        <v>0.21164021164021166</v>
      </c>
      <c r="P15">
        <f t="shared" si="6"/>
        <v>2.1164021164021165E-3</v>
      </c>
      <c r="Q15">
        <f t="shared" si="7"/>
        <v>4.4791579183113577E-6</v>
      </c>
      <c r="R15">
        <f t="shared" si="8"/>
        <v>-6.1580377469337977</v>
      </c>
      <c r="S15">
        <f t="shared" si="9"/>
        <v>-1.303288412049481E-2</v>
      </c>
      <c r="T15">
        <f t="shared" si="10"/>
        <v>-3.4869010510566569E-3</v>
      </c>
      <c r="U15">
        <f t="shared" si="11"/>
        <v>5.9843662715141974</v>
      </c>
      <c r="W15" t="s">
        <v>315</v>
      </c>
      <c r="X15" s="10" t="s">
        <v>191</v>
      </c>
      <c r="Y15">
        <v>3</v>
      </c>
      <c r="Z15">
        <v>6</v>
      </c>
      <c r="AC15" s="9">
        <f>SUM(Y15:AA15)</f>
        <v>9</v>
      </c>
      <c r="AD15">
        <f>AC15/AC53*100</f>
        <v>0.82568807339449546</v>
      </c>
      <c r="AE15">
        <f t="shared" si="78"/>
        <v>8.21917808219178E-3</v>
      </c>
      <c r="AF15">
        <f t="shared" si="12"/>
        <v>6.7554888346781753E-5</v>
      </c>
      <c r="AG15">
        <f t="shared" si="13"/>
        <v>-4.8012850649143823</v>
      </c>
      <c r="AH15">
        <f t="shared" si="14"/>
        <v>-3.9462616971899032E-2</v>
      </c>
      <c r="AI15">
        <f t="shared" si="15"/>
        <v>-1.0036715932531257E-2</v>
      </c>
      <c r="AJ15">
        <f t="shared" si="16"/>
        <v>7.1443782399249294</v>
      </c>
      <c r="AL15" t="s">
        <v>315</v>
      </c>
      <c r="AM15" s="19" t="s">
        <v>20</v>
      </c>
      <c r="AN15" s="20">
        <v>20</v>
      </c>
      <c r="AO15" s="20">
        <f>AN15/AN51*100</f>
        <v>1.9102196752626552</v>
      </c>
      <c r="AP15">
        <v>10</v>
      </c>
      <c r="AQ15">
        <v>3</v>
      </c>
      <c r="AR15">
        <v>7</v>
      </c>
      <c r="AU15">
        <f t="shared" si="17"/>
        <v>1.9083969465648856E-2</v>
      </c>
      <c r="AV15">
        <f t="shared" si="18"/>
        <v>3.6419789056581789E-4</v>
      </c>
      <c r="AW15">
        <f t="shared" si="19"/>
        <v>-3.9589065913269965</v>
      </c>
      <c r="AX15">
        <f t="shared" si="20"/>
        <v>-7.5551652506240394E-2</v>
      </c>
      <c r="AY15">
        <f t="shared" si="21"/>
        <v>-1.9516334154015342E-2</v>
      </c>
      <c r="AZ15">
        <f t="shared" si="22"/>
        <v>6.7580791631521038</v>
      </c>
      <c r="BC15" t="s">
        <v>303</v>
      </c>
      <c r="BD15" s="27" t="s">
        <v>639</v>
      </c>
      <c r="BE15" s="9">
        <v>24</v>
      </c>
      <c r="BF15">
        <f>BE15/BE59*100</f>
        <v>0.88008800880088001</v>
      </c>
      <c r="BG15">
        <f t="shared" si="23"/>
        <v>8.8008800880088004E-3</v>
      </c>
      <c r="BH15">
        <f t="shared" si="24"/>
        <v>7.7455490323509791E-5</v>
      </c>
      <c r="BI15">
        <f t="shared" si="25"/>
        <v>-4.7329035524976426</v>
      </c>
      <c r="BJ15">
        <f t="shared" si="26"/>
        <v>-4.1653716633642618E-2</v>
      </c>
      <c r="BK15">
        <f t="shared" si="27"/>
        <v>-1.0394373192411807E-2</v>
      </c>
      <c r="BL15">
        <f t="shared" si="28"/>
        <v>6.8259753385975239</v>
      </c>
      <c r="BO15" t="s">
        <v>315</v>
      </c>
      <c r="BP15" t="s">
        <v>167</v>
      </c>
      <c r="BQ15">
        <v>8</v>
      </c>
      <c r="BR15">
        <v>60</v>
      </c>
      <c r="BS15">
        <v>30</v>
      </c>
      <c r="BT15">
        <v>20</v>
      </c>
      <c r="BU15">
        <f t="shared" si="29"/>
        <v>118</v>
      </c>
      <c r="BV15">
        <f>BU15/BU67*100</f>
        <v>2.3082942097026606</v>
      </c>
      <c r="BW15">
        <f t="shared" si="30"/>
        <v>2.3082942097026604E-2</v>
      </c>
      <c r="BX15">
        <f t="shared" si="31"/>
        <v>5.3282221585468294E-4</v>
      </c>
      <c r="BY15">
        <f t="shared" si="32"/>
        <v>-3.7686613715917061</v>
      </c>
      <c r="BZ15">
        <f t="shared" si="33"/>
        <v>-8.699179222375221E-2</v>
      </c>
      <c r="CA15">
        <f t="shared" si="34"/>
        <v>-2.0996611978273225E-2</v>
      </c>
      <c r="CB15">
        <f t="shared" si="35"/>
        <v>7.2605091805186834</v>
      </c>
      <c r="CD15" t="s">
        <v>303</v>
      </c>
      <c r="CE15" s="1" t="s">
        <v>173</v>
      </c>
      <c r="CF15">
        <v>7</v>
      </c>
      <c r="CG15">
        <v>5</v>
      </c>
      <c r="CH15">
        <v>2</v>
      </c>
      <c r="CJ15">
        <f t="shared" si="36"/>
        <v>14</v>
      </c>
      <c r="CK15">
        <f>CJ15/CJ56*100</f>
        <v>0.25089605734767023</v>
      </c>
      <c r="CL15">
        <f t="shared" si="37"/>
        <v>2.5089605734767025E-3</v>
      </c>
      <c r="CM15">
        <f t="shared" si="38"/>
        <v>6.294883159260544E-6</v>
      </c>
      <c r="CN15">
        <f t="shared" si="39"/>
        <v>-5.9878867257600978</v>
      </c>
      <c r="CO15">
        <f t="shared" si="40"/>
        <v>-1.5023371713376589E-2</v>
      </c>
      <c r="CP15">
        <f t="shared" si="41"/>
        <v>-3.8021880661844539E-3</v>
      </c>
      <c r="CQ15">
        <f t="shared" si="42"/>
        <v>5.9117109920543012</v>
      </c>
      <c r="CT15" t="s">
        <v>303</v>
      </c>
      <c r="CU15" t="s">
        <v>107</v>
      </c>
      <c r="CV15">
        <v>2</v>
      </c>
      <c r="CX15">
        <v>3</v>
      </c>
      <c r="CY15">
        <v>6</v>
      </c>
      <c r="CZ15">
        <f t="shared" si="43"/>
        <v>11</v>
      </c>
      <c r="DA15">
        <f>CZ15/CZ72*100</f>
        <v>0.18431635388739945</v>
      </c>
      <c r="DB15">
        <f t="shared" si="81"/>
        <v>1.8431635388739946E-3</v>
      </c>
      <c r="DC15" s="2">
        <f t="shared" si="44"/>
        <v>3.3972518310345072E-6</v>
      </c>
      <c r="DD15">
        <f t="shared" si="45"/>
        <v>-12.592543738170452</v>
      </c>
      <c r="DE15">
        <f t="shared" si="46"/>
        <v>-2.3210117479871811E-2</v>
      </c>
      <c r="DF15">
        <f t="shared" si="47"/>
        <v>-5.500669533414943E-3</v>
      </c>
      <c r="DG15">
        <f t="shared" si="48"/>
        <v>7.7063160745129649</v>
      </c>
      <c r="DI15" t="s">
        <v>303</v>
      </c>
      <c r="DJ15" t="s">
        <v>360</v>
      </c>
      <c r="DK15">
        <v>1</v>
      </c>
      <c r="DL15">
        <f t="shared" si="49"/>
        <v>7.2463768115942032E-2</v>
      </c>
      <c r="DM15">
        <f t="shared" si="50"/>
        <v>7.246376811594203E-4</v>
      </c>
      <c r="DN15">
        <f t="shared" si="51"/>
        <v>5.2509976895610164E-7</v>
      </c>
      <c r="DO15">
        <f t="shared" si="52"/>
        <v>-7.2298387781512501</v>
      </c>
      <c r="DP15">
        <f t="shared" si="53"/>
        <v>-5.2390136073559787E-3</v>
      </c>
      <c r="DQ15">
        <f t="shared" si="54"/>
        <v>-1.4619745834559778E-3</v>
      </c>
      <c r="DR15">
        <f t="shared" si="55"/>
        <v>5.2558124663256702</v>
      </c>
      <c r="DT15" t="s">
        <v>303</v>
      </c>
      <c r="DU15" t="s">
        <v>360</v>
      </c>
      <c r="DV15">
        <v>1</v>
      </c>
      <c r="DW15">
        <v>2</v>
      </c>
      <c r="DX15">
        <v>1</v>
      </c>
      <c r="DZ15">
        <f t="shared" si="56"/>
        <v>4</v>
      </c>
      <c r="EA15">
        <f t="shared" si="57"/>
        <v>0.4700352526439483</v>
      </c>
      <c r="EB15">
        <f t="shared" si="58"/>
        <v>4.7003525264394828E-3</v>
      </c>
      <c r="EC15">
        <f t="shared" si="59"/>
        <v>2.2093313872806028E-5</v>
      </c>
      <c r="ED15">
        <f t="shared" si="60"/>
        <v>-5.3601177674534837</v>
      </c>
      <c r="EE15">
        <f t="shared" si="61"/>
        <v>-2.5194443090263141E-2</v>
      </c>
      <c r="EF15">
        <f t="shared" si="79"/>
        <v>-6.7406822066404066E-3</v>
      </c>
      <c r="EH15" t="s">
        <v>315</v>
      </c>
      <c r="EI15" t="s">
        <v>361</v>
      </c>
      <c r="EK15">
        <v>12</v>
      </c>
      <c r="EL15">
        <v>4</v>
      </c>
      <c r="EM15">
        <f t="shared" si="62"/>
        <v>16</v>
      </c>
      <c r="EN15">
        <f t="shared" si="63"/>
        <v>2.1650879566982408</v>
      </c>
      <c r="EO15">
        <f t="shared" si="64"/>
        <v>2.165087956698241E-2</v>
      </c>
      <c r="EP15">
        <f t="shared" si="65"/>
        <v>4.6876058602397645E-4</v>
      </c>
      <c r="EQ15">
        <f t="shared" si="66"/>
        <v>-3.8327091987084203</v>
      </c>
      <c r="ER15">
        <f t="shared" si="67"/>
        <v>-8.2981525276501669E-2</v>
      </c>
      <c r="ES15">
        <f t="shared" si="68"/>
        <v>-2.1928479622882999E-2</v>
      </c>
      <c r="ET15">
        <f t="shared" si="69"/>
        <v>6.5099258980626384</v>
      </c>
      <c r="EV15" t="s">
        <v>315</v>
      </c>
      <c r="EW15" t="s">
        <v>361</v>
      </c>
      <c r="EX15">
        <v>73</v>
      </c>
      <c r="EY15">
        <v>18</v>
      </c>
      <c r="EZ15">
        <v>17</v>
      </c>
      <c r="FA15">
        <v>18</v>
      </c>
      <c r="FB15">
        <f t="shared" si="70"/>
        <v>126</v>
      </c>
      <c r="FC15" s="15">
        <f t="shared" si="71"/>
        <v>20.723684210526315</v>
      </c>
      <c r="FD15">
        <f t="shared" si="72"/>
        <v>0.20723684210526316</v>
      </c>
      <c r="FE15">
        <f t="shared" si="73"/>
        <v>4.2947108725761775E-2</v>
      </c>
      <c r="FF15">
        <f t="shared" si="74"/>
        <v>-1.5738929750146891</v>
      </c>
      <c r="FG15">
        <f t="shared" si="75"/>
        <v>-0.326168609953702</v>
      </c>
      <c r="FH15">
        <f t="shared" si="76"/>
        <v>-8.568361677196705E-2</v>
      </c>
      <c r="FI15">
        <f t="shared" si="77"/>
        <v>6.8640873002990608</v>
      </c>
    </row>
    <row r="16" spans="1:165" x14ac:dyDescent="0.25">
      <c r="A16" t="s">
        <v>303</v>
      </c>
      <c r="B16" t="s">
        <v>119</v>
      </c>
      <c r="C16">
        <v>25</v>
      </c>
      <c r="D16">
        <f>(C16/C31)*100</f>
        <v>3.125</v>
      </c>
      <c r="E16">
        <f t="shared" si="0"/>
        <v>3.125E-2</v>
      </c>
      <c r="F16">
        <f t="shared" si="1"/>
        <v>9.765625E-4</v>
      </c>
      <c r="G16">
        <f t="shared" si="2"/>
        <v>-3.4657359027997265</v>
      </c>
      <c r="H16">
        <f t="shared" si="3"/>
        <v>-0.10830424696249145</v>
      </c>
      <c r="I16">
        <f t="shared" si="4"/>
        <v>-3.2860924665180077E-2</v>
      </c>
      <c r="J16">
        <f t="shared" si="5"/>
        <v>3.8895303211680581</v>
      </c>
      <c r="L16" t="s">
        <v>303</v>
      </c>
      <c r="M16" s="1" t="s">
        <v>52</v>
      </c>
      <c r="N16">
        <v>15</v>
      </c>
      <c r="O16">
        <f>N16/N46*100</f>
        <v>1.5873015873015872</v>
      </c>
      <c r="P16">
        <f t="shared" si="6"/>
        <v>1.5873015873015872E-2</v>
      </c>
      <c r="Q16">
        <f t="shared" si="7"/>
        <v>2.5195263290501383E-4</v>
      </c>
      <c r="R16">
        <f t="shared" si="8"/>
        <v>-4.1431347263915326</v>
      </c>
      <c r="S16">
        <f t="shared" si="9"/>
        <v>-6.5764043276056075E-2</v>
      </c>
      <c r="T16">
        <f t="shared" si="10"/>
        <v>-1.7594932134815087E-2</v>
      </c>
      <c r="U16">
        <f t="shared" si="11"/>
        <v>5.9843662715141974</v>
      </c>
      <c r="W16" t="s">
        <v>303</v>
      </c>
      <c r="X16" s="10" t="s">
        <v>192</v>
      </c>
      <c r="Y16">
        <v>6</v>
      </c>
      <c r="Z16">
        <v>4</v>
      </c>
      <c r="AA16">
        <v>30</v>
      </c>
      <c r="AB16">
        <v>8</v>
      </c>
      <c r="AC16" s="9">
        <f>SUM(Y16:AB16)</f>
        <v>48</v>
      </c>
      <c r="AD16">
        <f>AC16/AC53*100</f>
        <v>4.4036697247706424</v>
      </c>
      <c r="AE16">
        <f t="shared" si="78"/>
        <v>4.3835616438356165E-2</v>
      </c>
      <c r="AF16">
        <f t="shared" si="12"/>
        <v>1.9215612685306812E-3</v>
      </c>
      <c r="AG16">
        <f t="shared" si="13"/>
        <v>-3.1273086313427103</v>
      </c>
      <c r="AH16">
        <f t="shared" si="14"/>
        <v>-0.13708750164789962</v>
      </c>
      <c r="AI16">
        <f t="shared" si="15"/>
        <v>-3.4866119317939578E-2</v>
      </c>
      <c r="AJ16">
        <f t="shared" si="16"/>
        <v>7.1443782399249294</v>
      </c>
      <c r="AL16" t="s">
        <v>319</v>
      </c>
      <c r="AM16" s="1" t="s">
        <v>138</v>
      </c>
      <c r="AN16">
        <v>7</v>
      </c>
      <c r="AO16">
        <f>AN16/AN51*100</f>
        <v>0.66857688634192936</v>
      </c>
      <c r="AP16">
        <v>2</v>
      </c>
      <c r="AQ16">
        <v>5</v>
      </c>
      <c r="AU16">
        <f t="shared" si="17"/>
        <v>6.6793893129770991E-3</v>
      </c>
      <c r="AV16">
        <f t="shared" si="18"/>
        <v>4.4614241594312681E-5</v>
      </c>
      <c r="AW16">
        <f t="shared" si="19"/>
        <v>-5.0087287158256739</v>
      </c>
      <c r="AX16">
        <f t="shared" si="20"/>
        <v>-3.3455249056087516E-2</v>
      </c>
      <c r="AY16">
        <f t="shared" si="21"/>
        <v>-8.642085224151521E-3</v>
      </c>
      <c r="AZ16">
        <f t="shared" si="22"/>
        <v>6.7580791631521038</v>
      </c>
      <c r="BC16" t="s">
        <v>303</v>
      </c>
      <c r="BD16" s="27" t="s">
        <v>640</v>
      </c>
      <c r="BE16" s="9">
        <v>12</v>
      </c>
      <c r="BF16">
        <f>BE16/BE59*100</f>
        <v>0.44004400440044</v>
      </c>
      <c r="BG16">
        <f t="shared" si="23"/>
        <v>4.4004400440044002E-3</v>
      </c>
      <c r="BH16">
        <f t="shared" si="24"/>
        <v>1.9363872580877448E-5</v>
      </c>
      <c r="BI16">
        <f t="shared" si="25"/>
        <v>-5.426050733057588</v>
      </c>
      <c r="BJ16">
        <f t="shared" si="26"/>
        <v>-2.3877010926546042E-2</v>
      </c>
      <c r="BK16">
        <f t="shared" si="27"/>
        <v>-5.9583293484394666E-3</v>
      </c>
      <c r="BL16">
        <f t="shared" si="28"/>
        <v>6.8259753385975239</v>
      </c>
      <c r="BO16" t="s">
        <v>303</v>
      </c>
      <c r="BP16" t="s">
        <v>72</v>
      </c>
      <c r="BQ16">
        <v>20</v>
      </c>
      <c r="BR16">
        <v>5</v>
      </c>
      <c r="BT16">
        <v>2</v>
      </c>
      <c r="BU16">
        <f t="shared" si="29"/>
        <v>27</v>
      </c>
      <c r="BV16">
        <f>BU16/BU67*100</f>
        <v>0.528169014084507</v>
      </c>
      <c r="BW16">
        <f t="shared" si="30"/>
        <v>5.2816901408450703E-3</v>
      </c>
      <c r="BX16">
        <f t="shared" si="31"/>
        <v>2.7896250743900017E-5</v>
      </c>
      <c r="BY16">
        <f t="shared" si="32"/>
        <v>-5.2435091300530416</v>
      </c>
      <c r="BZ16">
        <f t="shared" si="33"/>
        <v>-2.7694590475632261E-2</v>
      </c>
      <c r="CA16">
        <f t="shared" si="34"/>
        <v>-6.6844532713887612E-3</v>
      </c>
      <c r="CB16">
        <f t="shared" si="35"/>
        <v>7.2605091805186834</v>
      </c>
      <c r="CD16" t="s">
        <v>303</v>
      </c>
      <c r="CE16" t="s">
        <v>107</v>
      </c>
      <c r="CG16">
        <v>2</v>
      </c>
      <c r="CH16">
        <v>3</v>
      </c>
      <c r="CJ16">
        <f t="shared" si="36"/>
        <v>5</v>
      </c>
      <c r="CK16">
        <f>CJ16/CJ56*100</f>
        <v>8.9605734767025089E-2</v>
      </c>
      <c r="CL16">
        <f t="shared" si="37"/>
        <v>8.960573476702509E-4</v>
      </c>
      <c r="CM16">
        <f t="shared" si="38"/>
        <v>8.0291877031384485E-7</v>
      </c>
      <c r="CN16">
        <f t="shared" si="39"/>
        <v>-7.0175061429412562</v>
      </c>
      <c r="CO16">
        <f t="shared" si="40"/>
        <v>-6.2880879417036347E-3</v>
      </c>
      <c r="CP16">
        <f t="shared" si="41"/>
        <v>-1.591419914730337E-3</v>
      </c>
      <c r="CQ16">
        <f t="shared" si="42"/>
        <v>5.9117109920543012</v>
      </c>
      <c r="CT16" t="s">
        <v>303</v>
      </c>
      <c r="CU16" t="s">
        <v>115</v>
      </c>
      <c r="CV16">
        <v>7</v>
      </c>
      <c r="CW16">
        <v>19</v>
      </c>
      <c r="CX16">
        <v>6</v>
      </c>
      <c r="CY16">
        <v>23</v>
      </c>
      <c r="CZ16">
        <f t="shared" si="43"/>
        <v>55</v>
      </c>
      <c r="DA16">
        <f>CZ16/CZ72*100</f>
        <v>0.92158176943699721</v>
      </c>
      <c r="DB16">
        <f t="shared" si="81"/>
        <v>9.2158176943699724E-3</v>
      </c>
      <c r="DC16" s="2">
        <f t="shared" si="44"/>
        <v>8.4931295775862668E-5</v>
      </c>
      <c r="DD16">
        <f t="shared" si="45"/>
        <v>-9.3736679133022527</v>
      </c>
      <c r="DE16">
        <f t="shared" si="46"/>
        <v>-8.6386014616558954E-2</v>
      </c>
      <c r="DF16">
        <f t="shared" si="47"/>
        <v>-2.0473007908147312E-2</v>
      </c>
      <c r="DG16">
        <f t="shared" si="48"/>
        <v>7.7063160745129649</v>
      </c>
      <c r="DI16" t="s">
        <v>315</v>
      </c>
      <c r="DJ16" t="s">
        <v>361</v>
      </c>
      <c r="DK16">
        <v>2</v>
      </c>
      <c r="DL16">
        <f t="shared" si="49"/>
        <v>0.14492753623188406</v>
      </c>
      <c r="DM16">
        <f t="shared" si="50"/>
        <v>1.4492753623188406E-3</v>
      </c>
      <c r="DN16">
        <f t="shared" si="51"/>
        <v>2.1003990758244065E-6</v>
      </c>
      <c r="DO16">
        <f t="shared" si="52"/>
        <v>-6.5366915975913047</v>
      </c>
      <c r="DP16">
        <f t="shared" si="53"/>
        <v>-9.4734660834656596E-3</v>
      </c>
      <c r="DQ16">
        <f t="shared" si="54"/>
        <v>-2.6436210457275048E-3</v>
      </c>
      <c r="DR16">
        <f t="shared" si="55"/>
        <v>5.2558124663256702</v>
      </c>
      <c r="DT16" t="s">
        <v>315</v>
      </c>
      <c r="DU16" t="s">
        <v>361</v>
      </c>
      <c r="DV16">
        <v>2</v>
      </c>
      <c r="DW16">
        <v>3</v>
      </c>
      <c r="DX16">
        <v>1</v>
      </c>
      <c r="DY16">
        <v>1</v>
      </c>
      <c r="DZ16">
        <f t="shared" si="56"/>
        <v>7</v>
      </c>
      <c r="EA16">
        <f t="shared" si="57"/>
        <v>0.82256169212690955</v>
      </c>
      <c r="EB16">
        <f t="shared" si="58"/>
        <v>8.2256169212690956E-3</v>
      </c>
      <c r="EC16">
        <f t="shared" si="59"/>
        <v>6.7660773735468476E-5</v>
      </c>
      <c r="ED16">
        <f t="shared" si="60"/>
        <v>-4.800501979518061</v>
      </c>
      <c r="EE16">
        <f t="shared" si="61"/>
        <v>-3.9487090313309554E-2</v>
      </c>
      <c r="EF16">
        <f t="shared" si="79"/>
        <v>-1.05646283235288E-2</v>
      </c>
      <c r="EH16" t="s">
        <v>315</v>
      </c>
      <c r="EI16" t="s">
        <v>362</v>
      </c>
      <c r="EJ16">
        <v>1</v>
      </c>
      <c r="EL16">
        <v>9</v>
      </c>
      <c r="EM16">
        <f t="shared" si="62"/>
        <v>10</v>
      </c>
      <c r="EN16">
        <f t="shared" si="63"/>
        <v>1.3531799729364005</v>
      </c>
      <c r="EO16">
        <f t="shared" si="64"/>
        <v>1.3531799729364006E-2</v>
      </c>
      <c r="EP16">
        <f t="shared" si="65"/>
        <v>1.8310960391561577E-4</v>
      </c>
      <c r="EQ16">
        <f t="shared" si="66"/>
        <v>-4.3027128279541564</v>
      </c>
      <c r="ER16">
        <f t="shared" si="67"/>
        <v>-5.8223448280841091E-2</v>
      </c>
      <c r="ES16">
        <f t="shared" si="68"/>
        <v>-1.5385975311325724E-2</v>
      </c>
      <c r="ET16">
        <f t="shared" si="69"/>
        <v>6.5099258980626384</v>
      </c>
      <c r="EV16" t="s">
        <v>322</v>
      </c>
      <c r="EW16" t="s">
        <v>362</v>
      </c>
      <c r="EX16">
        <v>9</v>
      </c>
      <c r="EY16">
        <v>11</v>
      </c>
      <c r="FA16">
        <v>15</v>
      </c>
      <c r="FB16">
        <f t="shared" si="70"/>
        <v>35</v>
      </c>
      <c r="FC16">
        <f t="shared" si="71"/>
        <v>5.7565789473684212</v>
      </c>
      <c r="FD16">
        <f t="shared" si="72"/>
        <v>5.7565789473684209E-2</v>
      </c>
      <c r="FE16">
        <f t="shared" si="73"/>
        <v>3.3138201177285317E-3</v>
      </c>
      <c r="FF16">
        <f t="shared" si="74"/>
        <v>-2.8548268204767533</v>
      </c>
      <c r="FG16">
        <f t="shared" si="75"/>
        <v>-0.16434035973139205</v>
      </c>
      <c r="FH16">
        <f t="shared" si="76"/>
        <v>-4.3171770592487634E-2</v>
      </c>
      <c r="FI16">
        <f t="shared" si="77"/>
        <v>6.8640873002990608</v>
      </c>
    </row>
    <row r="17" spans="1:165" x14ac:dyDescent="0.25">
      <c r="A17" t="s">
        <v>303</v>
      </c>
      <c r="B17" s="1" t="s">
        <v>120</v>
      </c>
      <c r="C17">
        <v>42</v>
      </c>
      <c r="D17">
        <f>(C17/C31)*100</f>
        <v>5.25</v>
      </c>
      <c r="E17">
        <f t="shared" si="0"/>
        <v>5.2499999999999998E-2</v>
      </c>
      <c r="F17">
        <f t="shared" si="1"/>
        <v>2.7562499999999996E-3</v>
      </c>
      <c r="G17">
        <f t="shared" si="2"/>
        <v>-2.9469421093845591</v>
      </c>
      <c r="H17">
        <f t="shared" si="3"/>
        <v>-0.15471446074268935</v>
      </c>
      <c r="I17">
        <f t="shared" si="4"/>
        <v>-4.6942390364804583E-2</v>
      </c>
      <c r="J17">
        <f t="shared" si="5"/>
        <v>3.8895303211680581</v>
      </c>
      <c r="L17" t="s">
        <v>303</v>
      </c>
      <c r="M17" t="s">
        <v>78</v>
      </c>
      <c r="N17">
        <v>9</v>
      </c>
      <c r="O17">
        <f>N17/N46*100</f>
        <v>0.95238095238095244</v>
      </c>
      <c r="P17">
        <f t="shared" si="6"/>
        <v>9.5238095238095247E-3</v>
      </c>
      <c r="Q17">
        <f t="shared" si="7"/>
        <v>9.0702947845805004E-5</v>
      </c>
      <c r="R17">
        <f t="shared" si="8"/>
        <v>-4.6539603501575231</v>
      </c>
      <c r="S17">
        <f t="shared" si="9"/>
        <v>-4.4323431906262131E-2</v>
      </c>
      <c r="T17">
        <f t="shared" si="10"/>
        <v>-1.1858574040211433E-2</v>
      </c>
      <c r="U17">
        <f t="shared" si="11"/>
        <v>5.9843662715141974</v>
      </c>
      <c r="W17" t="s">
        <v>303</v>
      </c>
      <c r="X17" s="11" t="s">
        <v>52</v>
      </c>
      <c r="Y17">
        <v>1</v>
      </c>
      <c r="Z17">
        <v>1</v>
      </c>
      <c r="AA17">
        <v>5</v>
      </c>
      <c r="AC17" s="9">
        <f t="shared" ref="AC17:AC24" si="82">SUM(Y17:AA17)</f>
        <v>7</v>
      </c>
      <c r="AD17">
        <f>AC17/AC53*100</f>
        <v>0.64220183486238536</v>
      </c>
      <c r="AE17">
        <f t="shared" si="78"/>
        <v>6.392694063926941E-3</v>
      </c>
      <c r="AF17">
        <f t="shared" si="12"/>
        <v>4.0866537394966747E-5</v>
      </c>
      <c r="AG17">
        <f t="shared" si="13"/>
        <v>-5.052599493195288</v>
      </c>
      <c r="AH17">
        <f t="shared" si="14"/>
        <v>-3.2299722787549785E-2</v>
      </c>
      <c r="AI17">
        <f t="shared" si="15"/>
        <v>-8.2149428292855407E-3</v>
      </c>
      <c r="AJ17">
        <f t="shared" si="16"/>
        <v>7.1443782399249294</v>
      </c>
      <c r="AL17" t="s">
        <v>303</v>
      </c>
      <c r="AM17" s="1" t="s">
        <v>94</v>
      </c>
      <c r="AN17">
        <v>1</v>
      </c>
      <c r="AO17">
        <f>AN17/AN51*100</f>
        <v>9.5510983763132759E-2</v>
      </c>
      <c r="AP17">
        <v>1</v>
      </c>
      <c r="AU17">
        <f t="shared" si="17"/>
        <v>9.5419847328244271E-4</v>
      </c>
      <c r="AV17">
        <f t="shared" si="18"/>
        <v>9.1049472641454453E-7</v>
      </c>
      <c r="AW17">
        <f t="shared" si="19"/>
        <v>-6.9546388648809874</v>
      </c>
      <c r="AX17">
        <f t="shared" si="20"/>
        <v>-6.6361057871001782E-3</v>
      </c>
      <c r="AY17">
        <f t="shared" si="21"/>
        <v>-1.7142240272209088E-3</v>
      </c>
      <c r="AZ17">
        <f t="shared" si="22"/>
        <v>6.7580791631521038</v>
      </c>
      <c r="BC17" t="s">
        <v>303</v>
      </c>
      <c r="BD17" s="27" t="s">
        <v>641</v>
      </c>
      <c r="BE17" s="9">
        <v>6</v>
      </c>
      <c r="BF17">
        <f>BE17/BE59*100</f>
        <v>0.22002200220022</v>
      </c>
      <c r="BG17">
        <f t="shared" si="23"/>
        <v>2.2002200220022001E-3</v>
      </c>
      <c r="BH17">
        <f t="shared" si="24"/>
        <v>4.8409681452193619E-6</v>
      </c>
      <c r="BI17">
        <f t="shared" si="25"/>
        <v>-6.1191979136175334</v>
      </c>
      <c r="BJ17">
        <f t="shared" si="26"/>
        <v>-1.3463581768135386E-2</v>
      </c>
      <c r="BK17">
        <f t="shared" si="27"/>
        <v>-3.3597360503365144E-3</v>
      </c>
      <c r="BL17">
        <f t="shared" si="28"/>
        <v>6.8259753385975239</v>
      </c>
      <c r="BO17" t="s">
        <v>303</v>
      </c>
      <c r="BP17" t="s">
        <v>168</v>
      </c>
      <c r="BQ17">
        <v>1</v>
      </c>
      <c r="BR17">
        <v>1</v>
      </c>
      <c r="BT17">
        <v>1</v>
      </c>
      <c r="BU17">
        <f t="shared" si="29"/>
        <v>3</v>
      </c>
      <c r="BV17">
        <f>BU17/BU67*100</f>
        <v>5.8685446009389672E-2</v>
      </c>
      <c r="BW17">
        <f t="shared" si="30"/>
        <v>5.8685446009389673E-4</v>
      </c>
      <c r="BX17">
        <f t="shared" si="31"/>
        <v>3.4439815733209904E-7</v>
      </c>
      <c r="BY17">
        <f t="shared" si="32"/>
        <v>-7.4407337073892608</v>
      </c>
      <c r="BZ17">
        <f t="shared" si="33"/>
        <v>-4.3666277625523829E-3</v>
      </c>
      <c r="CA17">
        <f t="shared" si="34"/>
        <v>-1.0539429805980511E-3</v>
      </c>
      <c r="CB17">
        <f t="shared" si="35"/>
        <v>7.2605091805186834</v>
      </c>
      <c r="CD17" t="s">
        <v>303</v>
      </c>
      <c r="CE17" t="s">
        <v>115</v>
      </c>
      <c r="CF17">
        <v>13</v>
      </c>
      <c r="CG17">
        <v>27</v>
      </c>
      <c r="CH17">
        <v>7</v>
      </c>
      <c r="CI17">
        <v>10</v>
      </c>
      <c r="CJ17">
        <f t="shared" si="36"/>
        <v>57</v>
      </c>
      <c r="CK17">
        <f>CJ17/CJ56*100</f>
        <v>1.021505376344086</v>
      </c>
      <c r="CL17">
        <f t="shared" si="37"/>
        <v>1.0215053763440861E-2</v>
      </c>
      <c r="CM17">
        <f t="shared" si="38"/>
        <v>1.043473233899873E-4</v>
      </c>
      <c r="CN17">
        <f t="shared" si="39"/>
        <v>-4.5838927875408064</v>
      </c>
      <c r="CO17">
        <f t="shared" si="40"/>
        <v>-4.6824711270578134E-2</v>
      </c>
      <c r="CP17">
        <f t="shared" si="41"/>
        <v>-1.1850625930862373E-2</v>
      </c>
      <c r="CQ17">
        <f t="shared" si="42"/>
        <v>5.9117109920543012</v>
      </c>
      <c r="CT17" t="s">
        <v>303</v>
      </c>
      <c r="CU17" s="1" t="s">
        <v>171</v>
      </c>
      <c r="CW17">
        <v>4</v>
      </c>
      <c r="CY17">
        <v>1</v>
      </c>
      <c r="CZ17">
        <f t="shared" si="43"/>
        <v>5</v>
      </c>
      <c r="DA17">
        <f>CZ17/CZ72*100</f>
        <v>8.3780160857908847E-2</v>
      </c>
      <c r="DB17">
        <f t="shared" si="81"/>
        <v>8.3780160857908849E-4</v>
      </c>
      <c r="DC17" s="2">
        <f t="shared" si="44"/>
        <v>7.0191153533770814E-7</v>
      </c>
      <c r="DD17">
        <f t="shared" si="45"/>
        <v>-14.169458458898992</v>
      </c>
      <c r="DE17">
        <f t="shared" si="46"/>
        <v>-1.1871195089560149E-2</v>
      </c>
      <c r="DF17">
        <f t="shared" si="47"/>
        <v>-2.8134076103232728E-3</v>
      </c>
      <c r="DG17">
        <f t="shared" si="48"/>
        <v>7.7063160745129649</v>
      </c>
      <c r="DI17" t="s">
        <v>315</v>
      </c>
      <c r="DJ17" t="s">
        <v>363</v>
      </c>
      <c r="DK17">
        <v>1</v>
      </c>
      <c r="DL17">
        <f t="shared" si="49"/>
        <v>7.2463768115942032E-2</v>
      </c>
      <c r="DM17">
        <f t="shared" si="50"/>
        <v>7.246376811594203E-4</v>
      </c>
      <c r="DN17">
        <f t="shared" si="51"/>
        <v>5.2509976895610164E-7</v>
      </c>
      <c r="DO17">
        <f t="shared" si="52"/>
        <v>-7.2298387781512501</v>
      </c>
      <c r="DP17">
        <f t="shared" si="53"/>
        <v>-5.2390136073559787E-3</v>
      </c>
      <c r="DQ17">
        <f t="shared" si="54"/>
        <v>-1.4619745834559778E-3</v>
      </c>
      <c r="DR17">
        <f t="shared" si="55"/>
        <v>5.2558124663256702</v>
      </c>
      <c r="DT17" t="s">
        <v>322</v>
      </c>
      <c r="DU17" t="s">
        <v>362</v>
      </c>
      <c r="DV17">
        <v>7</v>
      </c>
      <c r="DW17">
        <v>19</v>
      </c>
      <c r="DX17">
        <v>14</v>
      </c>
      <c r="DY17">
        <v>43</v>
      </c>
      <c r="DZ17">
        <f t="shared" si="56"/>
        <v>83</v>
      </c>
      <c r="EA17">
        <f t="shared" si="57"/>
        <v>9.7532314923619268</v>
      </c>
      <c r="EB17">
        <f t="shared" si="58"/>
        <v>9.7532314923619273E-2</v>
      </c>
      <c r="EC17">
        <f t="shared" si="59"/>
        <v>9.5125524543600466E-3</v>
      </c>
      <c r="ED17">
        <f t="shared" si="60"/>
        <v>-2.3275715207767762</v>
      </c>
      <c r="EE17">
        <f t="shared" si="61"/>
        <v>-0.22701343857164799</v>
      </c>
      <c r="EF17">
        <f t="shared" si="79"/>
        <v>-6.0736625158408303E-2</v>
      </c>
      <c r="EH17" t="s">
        <v>303</v>
      </c>
      <c r="EI17" t="s">
        <v>14</v>
      </c>
      <c r="EJ17">
        <v>4</v>
      </c>
      <c r="EM17">
        <f t="shared" si="62"/>
        <v>4</v>
      </c>
      <c r="EN17">
        <f t="shared" si="63"/>
        <v>0.54127198917456021</v>
      </c>
      <c r="EO17">
        <f t="shared" si="64"/>
        <v>5.4127198917456026E-3</v>
      </c>
      <c r="EP17">
        <f t="shared" si="65"/>
        <v>2.9297536626498528E-5</v>
      </c>
      <c r="EQ17">
        <f t="shared" si="66"/>
        <v>-5.2190035598283107</v>
      </c>
      <c r="ER17">
        <f t="shared" si="67"/>
        <v>-2.824900438337381E-2</v>
      </c>
      <c r="ES17">
        <f t="shared" si="68"/>
        <v>-7.4650076016734819E-3</v>
      </c>
      <c r="ET17">
        <f t="shared" si="69"/>
        <v>6.5099258980626384</v>
      </c>
      <c r="EV17" t="s">
        <v>303</v>
      </c>
      <c r="EW17" t="s">
        <v>6</v>
      </c>
      <c r="EX17">
        <v>2</v>
      </c>
      <c r="EY17">
        <v>4</v>
      </c>
      <c r="EZ17">
        <v>3</v>
      </c>
      <c r="FB17">
        <f t="shared" si="70"/>
        <v>9</v>
      </c>
      <c r="FC17">
        <f t="shared" si="71"/>
        <v>1.4802631578947367</v>
      </c>
      <c r="FD17">
        <f t="shared" si="72"/>
        <v>1.4802631578947368E-2</v>
      </c>
      <c r="FE17">
        <f t="shared" si="73"/>
        <v>2.1911790166204983E-4</v>
      </c>
      <c r="FF17">
        <f t="shared" si="74"/>
        <v>-4.2129503046299472</v>
      </c>
      <c r="FG17">
        <f t="shared" si="75"/>
        <v>-6.2362751219851187E-2</v>
      </c>
      <c r="FH17">
        <f t="shared" si="76"/>
        <v>-1.6382527052881415E-2</v>
      </c>
      <c r="FI17">
        <f t="shared" si="77"/>
        <v>6.8640873002990608</v>
      </c>
    </row>
    <row r="18" spans="1:165" x14ac:dyDescent="0.25">
      <c r="A18" t="s">
        <v>316</v>
      </c>
      <c r="B18" s="1" t="s">
        <v>121</v>
      </c>
      <c r="C18">
        <v>17</v>
      </c>
      <c r="D18">
        <f>(C18/C31)*100</f>
        <v>2.125</v>
      </c>
      <c r="E18">
        <f t="shared" si="0"/>
        <v>2.1250000000000002E-2</v>
      </c>
      <c r="F18">
        <f t="shared" si="1"/>
        <v>4.5156250000000009E-4</v>
      </c>
      <c r="G18">
        <f t="shared" si="2"/>
        <v>-3.8513983836117109</v>
      </c>
      <c r="H18">
        <f t="shared" si="3"/>
        <v>-8.1842215651748859E-2</v>
      </c>
      <c r="I18">
        <f t="shared" si="4"/>
        <v>-2.4831998360091576E-2</v>
      </c>
      <c r="J18">
        <f t="shared" si="5"/>
        <v>3.8895303211680581</v>
      </c>
      <c r="L18" t="s">
        <v>305</v>
      </c>
      <c r="M18" t="s">
        <v>79</v>
      </c>
      <c r="N18">
        <v>3</v>
      </c>
      <c r="O18">
        <f>N18/N46*100</f>
        <v>0.31746031746031744</v>
      </c>
      <c r="P18">
        <f t="shared" si="6"/>
        <v>3.1746031746031746E-3</v>
      </c>
      <c r="Q18">
        <f t="shared" si="7"/>
        <v>1.0078105316200555E-5</v>
      </c>
      <c r="R18">
        <f t="shared" si="8"/>
        <v>-5.7525726388256331</v>
      </c>
      <c r="S18">
        <f t="shared" si="9"/>
        <v>-1.8262135361351215E-2</v>
      </c>
      <c r="T18">
        <f t="shared" si="10"/>
        <v>-4.8859683242251416E-3</v>
      </c>
      <c r="U18">
        <f t="shared" si="11"/>
        <v>5.9843662715141974</v>
      </c>
      <c r="W18" t="s">
        <v>303</v>
      </c>
      <c r="X18" s="10" t="s">
        <v>57</v>
      </c>
      <c r="Y18">
        <v>4</v>
      </c>
      <c r="Z18">
        <v>1</v>
      </c>
      <c r="AA18">
        <v>24</v>
      </c>
      <c r="AC18" s="9">
        <f t="shared" si="82"/>
        <v>29</v>
      </c>
      <c r="AD18">
        <f>AC18/AC53*100</f>
        <v>2.6605504587155964</v>
      </c>
      <c r="AE18">
        <f t="shared" si="78"/>
        <v>2.6484018264840183E-2</v>
      </c>
      <c r="AF18">
        <f t="shared" si="12"/>
        <v>7.0140322345238839E-4</v>
      </c>
      <c r="AG18">
        <f t="shared" si="13"/>
        <v>-3.6312138122641273</v>
      </c>
      <c r="AH18">
        <f t="shared" si="14"/>
        <v>-9.6169132927543102E-2</v>
      </c>
      <c r="AI18">
        <f t="shared" si="15"/>
        <v>-2.4459155087431586E-2</v>
      </c>
      <c r="AJ18">
        <f t="shared" si="16"/>
        <v>7.1443782399249294</v>
      </c>
      <c r="AL18" t="s">
        <v>303</v>
      </c>
      <c r="AM18" s="1" t="s">
        <v>40</v>
      </c>
      <c r="AN18">
        <v>36</v>
      </c>
      <c r="AO18">
        <f>AN18/AN51*100</f>
        <v>3.4383954154727796</v>
      </c>
      <c r="AP18">
        <v>6</v>
      </c>
      <c r="AQ18">
        <v>5</v>
      </c>
      <c r="AR18">
        <v>5</v>
      </c>
      <c r="AS18">
        <v>15</v>
      </c>
      <c r="AU18">
        <f t="shared" si="17"/>
        <v>3.4351145038167941E-2</v>
      </c>
      <c r="AV18">
        <f t="shared" si="18"/>
        <v>1.18000116543325E-3</v>
      </c>
      <c r="AW18">
        <f t="shared" si="19"/>
        <v>-3.3711199264248775</v>
      </c>
      <c r="AX18">
        <f t="shared" si="20"/>
        <v>-0.115801829533679</v>
      </c>
      <c r="AY18">
        <f t="shared" si="21"/>
        <v>-2.9913669997342927E-2</v>
      </c>
      <c r="AZ18">
        <f t="shared" si="22"/>
        <v>6.7580791631521038</v>
      </c>
      <c r="BC18" t="s">
        <v>303</v>
      </c>
      <c r="BD18" s="27" t="s">
        <v>642</v>
      </c>
      <c r="BE18" s="9">
        <v>3</v>
      </c>
      <c r="BF18">
        <f>BE18/BE59*100</f>
        <v>0.11001100110011</v>
      </c>
      <c r="BG18">
        <f t="shared" si="23"/>
        <v>1.1001100110011001E-3</v>
      </c>
      <c r="BH18">
        <f t="shared" si="24"/>
        <v>1.2102420363048405E-6</v>
      </c>
      <c r="BI18">
        <f t="shared" si="25"/>
        <v>-6.8123450941774788</v>
      </c>
      <c r="BJ18">
        <f t="shared" si="26"/>
        <v>-7.4943290364988761E-3</v>
      </c>
      <c r="BK18">
        <f t="shared" si="27"/>
        <v>-1.8701537132266477E-3</v>
      </c>
      <c r="BL18">
        <f t="shared" si="28"/>
        <v>6.8259753385975239</v>
      </c>
      <c r="BO18" t="s">
        <v>303</v>
      </c>
      <c r="BP18" s="1" t="s">
        <v>173</v>
      </c>
      <c r="BQ18">
        <v>3</v>
      </c>
      <c r="BR18">
        <v>1</v>
      </c>
      <c r="BS18">
        <v>1</v>
      </c>
      <c r="BT18">
        <v>7</v>
      </c>
      <c r="BU18">
        <f t="shared" si="29"/>
        <v>12</v>
      </c>
      <c r="BV18">
        <f>BU18/BU67*100</f>
        <v>0.23474178403755869</v>
      </c>
      <c r="BW18">
        <f t="shared" si="30"/>
        <v>2.3474178403755869E-3</v>
      </c>
      <c r="BX18">
        <f t="shared" si="31"/>
        <v>5.5103705173135846E-6</v>
      </c>
      <c r="BY18">
        <f t="shared" si="32"/>
        <v>-6.05443934626937</v>
      </c>
      <c r="BZ18">
        <f t="shared" si="33"/>
        <v>-1.4212298934904624E-2</v>
      </c>
      <c r="CA18">
        <f t="shared" si="34"/>
        <v>-3.4303250735181474E-3</v>
      </c>
      <c r="CB18">
        <f t="shared" si="35"/>
        <v>7.2605091805186834</v>
      </c>
      <c r="CD18" t="s">
        <v>303</v>
      </c>
      <c r="CE18" s="1" t="s">
        <v>171</v>
      </c>
      <c r="CF18">
        <v>5</v>
      </c>
      <c r="CG18">
        <v>2</v>
      </c>
      <c r="CH18">
        <v>4</v>
      </c>
      <c r="CI18">
        <v>12</v>
      </c>
      <c r="CJ18">
        <f t="shared" si="36"/>
        <v>23</v>
      </c>
      <c r="CK18">
        <f>CJ18/CJ56*100</f>
        <v>0.41218637992831542</v>
      </c>
      <c r="CL18">
        <f t="shared" si="37"/>
        <v>4.1218637992831543E-3</v>
      </c>
      <c r="CM18">
        <f t="shared" si="38"/>
        <v>1.6989761179840959E-5</v>
      </c>
      <c r="CN18">
        <f t="shared" si="39"/>
        <v>-5.491449839446207</v>
      </c>
      <c r="CO18">
        <f t="shared" si="40"/>
        <v>-2.263500829879261E-2</v>
      </c>
      <c r="CP18">
        <f t="shared" si="41"/>
        <v>-5.7285781163909106E-3</v>
      </c>
      <c r="CQ18">
        <f t="shared" si="42"/>
        <v>5.9117109920543012</v>
      </c>
      <c r="CT18" t="s">
        <v>303</v>
      </c>
      <c r="CU18" t="s">
        <v>15</v>
      </c>
      <c r="CX18">
        <v>2</v>
      </c>
      <c r="CY18">
        <v>2</v>
      </c>
      <c r="CZ18">
        <f t="shared" si="43"/>
        <v>4</v>
      </c>
      <c r="DA18">
        <f>CZ18/CZ72*100</f>
        <v>6.7024128686327081E-2</v>
      </c>
      <c r="DB18">
        <f t="shared" si="81"/>
        <v>6.7024128686327079E-4</v>
      </c>
      <c r="DC18" s="2">
        <f t="shared" si="44"/>
        <v>4.4922338261613323E-7</v>
      </c>
      <c r="DD18">
        <f t="shared" si="45"/>
        <v>-14.615745561527412</v>
      </c>
      <c r="DE18">
        <f t="shared" si="46"/>
        <v>-9.7960761136242705E-3</v>
      </c>
      <c r="DF18">
        <f t="shared" si="47"/>
        <v>-2.3216158846225922E-3</v>
      </c>
      <c r="DG18">
        <f t="shared" si="48"/>
        <v>7.7063160745129649</v>
      </c>
      <c r="DI18" t="s">
        <v>303</v>
      </c>
      <c r="DJ18" t="s">
        <v>255</v>
      </c>
      <c r="DK18">
        <v>5</v>
      </c>
      <c r="DL18">
        <f t="shared" si="49"/>
        <v>0.36231884057971014</v>
      </c>
      <c r="DM18">
        <f t="shared" si="50"/>
        <v>3.6231884057971015E-3</v>
      </c>
      <c r="DN18">
        <f t="shared" si="51"/>
        <v>1.3127494223902542E-5</v>
      </c>
      <c r="DO18">
        <f t="shared" si="52"/>
        <v>-5.6204008657171496</v>
      </c>
      <c r="DP18">
        <f t="shared" si="53"/>
        <v>-2.0363771252598369E-2</v>
      </c>
      <c r="DQ18">
        <f t="shared" si="54"/>
        <v>-5.6826185663669763E-3</v>
      </c>
      <c r="DR18">
        <f t="shared" si="55"/>
        <v>5.2558124663256702</v>
      </c>
      <c r="DT18" t="s">
        <v>303</v>
      </c>
      <c r="DU18" t="s">
        <v>255</v>
      </c>
      <c r="DW18">
        <v>1</v>
      </c>
      <c r="DX18">
        <v>4</v>
      </c>
      <c r="DZ18">
        <f t="shared" si="56"/>
        <v>5</v>
      </c>
      <c r="EA18">
        <f t="shared" si="57"/>
        <v>0.58754406580493534</v>
      </c>
      <c r="EB18">
        <f t="shared" si="58"/>
        <v>5.8754406580493537E-3</v>
      </c>
      <c r="EC18">
        <f t="shared" si="59"/>
        <v>3.4520802926259424E-5</v>
      </c>
      <c r="ED18">
        <f t="shared" si="60"/>
        <v>-5.136974216139274</v>
      </c>
      <c r="EE18">
        <f t="shared" si="61"/>
        <v>-3.0181987168855898E-2</v>
      </c>
      <c r="EF18">
        <f t="shared" si="79"/>
        <v>-8.0750816019736493E-3</v>
      </c>
      <c r="EH18" t="s">
        <v>303</v>
      </c>
      <c r="EI18" t="s">
        <v>6</v>
      </c>
      <c r="EJ18">
        <v>3</v>
      </c>
      <c r="EK18">
        <v>4</v>
      </c>
      <c r="EM18">
        <f t="shared" si="62"/>
        <v>7</v>
      </c>
      <c r="EN18">
        <f t="shared" si="63"/>
        <v>0.94722598105548039</v>
      </c>
      <c r="EO18">
        <f t="shared" si="64"/>
        <v>9.4722598105548041E-3</v>
      </c>
      <c r="EP18">
        <f t="shared" si="65"/>
        <v>8.9723705918651734E-5</v>
      </c>
      <c r="EQ18">
        <f t="shared" si="66"/>
        <v>-4.659387771892888</v>
      </c>
      <c r="ER18">
        <f t="shared" si="67"/>
        <v>-4.4134931533491496E-2</v>
      </c>
      <c r="ES18">
        <f t="shared" si="68"/>
        <v>-1.1662980929365555E-2</v>
      </c>
      <c r="ET18">
        <f t="shared" si="69"/>
        <v>6.5099258980626384</v>
      </c>
      <c r="EV18" t="s">
        <v>315</v>
      </c>
      <c r="EW18" t="s">
        <v>364</v>
      </c>
      <c r="EX18">
        <v>23</v>
      </c>
      <c r="EY18">
        <v>15</v>
      </c>
      <c r="EZ18">
        <v>40</v>
      </c>
      <c r="FA18">
        <v>7</v>
      </c>
      <c r="FB18">
        <f t="shared" si="70"/>
        <v>85</v>
      </c>
      <c r="FC18">
        <f t="shared" si="71"/>
        <v>13.980263157894738</v>
      </c>
      <c r="FD18">
        <f t="shared" si="72"/>
        <v>0.13980263157894737</v>
      </c>
      <c r="FE18">
        <f t="shared" si="73"/>
        <v>1.9544775796398892E-2</v>
      </c>
      <c r="FF18">
        <f t="shared" si="74"/>
        <v>-1.9675236254758506</v>
      </c>
      <c r="FG18">
        <f t="shared" si="75"/>
        <v>-0.27506498053527517</v>
      </c>
      <c r="FH18">
        <f t="shared" si="76"/>
        <v>-7.2258830740697375E-2</v>
      </c>
      <c r="FI18">
        <f t="shared" si="77"/>
        <v>6.8640873002990608</v>
      </c>
    </row>
    <row r="19" spans="1:165" x14ac:dyDescent="0.25">
      <c r="A19" t="s">
        <v>303</v>
      </c>
      <c r="B19" t="s">
        <v>122</v>
      </c>
      <c r="C19">
        <v>6</v>
      </c>
      <c r="D19">
        <f>(C19/31)*100</f>
        <v>19.35483870967742</v>
      </c>
      <c r="E19">
        <f t="shared" si="0"/>
        <v>7.4999999999999997E-3</v>
      </c>
      <c r="F19">
        <f t="shared" si="1"/>
        <v>5.6249999999999998E-5</v>
      </c>
      <c r="G19">
        <f t="shared" si="2"/>
        <v>-4.8928522584398726</v>
      </c>
      <c r="H19">
        <f t="shared" si="3"/>
        <v>-3.6696391938299044E-2</v>
      </c>
      <c r="I19">
        <f t="shared" si="4"/>
        <v>-1.113416513930421E-2</v>
      </c>
      <c r="J19">
        <f t="shared" si="5"/>
        <v>3.8895303211680581</v>
      </c>
      <c r="L19" t="s">
        <v>315</v>
      </c>
      <c r="M19" t="s">
        <v>80</v>
      </c>
      <c r="N19">
        <v>8</v>
      </c>
      <c r="O19">
        <f>N19/N46*100</f>
        <v>0.84656084656084662</v>
      </c>
      <c r="P19">
        <f t="shared" si="6"/>
        <v>8.4656084656084662E-3</v>
      </c>
      <c r="Q19">
        <f t="shared" si="7"/>
        <v>7.1666526692981724E-5</v>
      </c>
      <c r="R19">
        <f t="shared" si="8"/>
        <v>-4.7717433858139069</v>
      </c>
      <c r="S19">
        <f t="shared" si="9"/>
        <v>-4.0395711202657412E-2</v>
      </c>
      <c r="T19">
        <f t="shared" si="10"/>
        <v>-1.0807726559098688E-2</v>
      </c>
      <c r="U19">
        <f t="shared" si="11"/>
        <v>5.9843662715141974</v>
      </c>
      <c r="W19" t="s">
        <v>303</v>
      </c>
      <c r="X19" s="11" t="s">
        <v>193</v>
      </c>
      <c r="Y19">
        <v>5</v>
      </c>
      <c r="Z19">
        <v>3</v>
      </c>
      <c r="AA19">
        <v>3</v>
      </c>
      <c r="AC19" s="9">
        <f t="shared" si="82"/>
        <v>11</v>
      </c>
      <c r="AD19">
        <f>AC19/AC53*100</f>
        <v>1.0091743119266057</v>
      </c>
      <c r="AE19">
        <f t="shared" si="78"/>
        <v>1.0045662100456621E-2</v>
      </c>
      <c r="AF19">
        <f t="shared" si="12"/>
        <v>1.0091532703655053E-4</v>
      </c>
      <c r="AG19">
        <f t="shared" si="13"/>
        <v>-4.6006143694522308</v>
      </c>
      <c r="AH19">
        <f t="shared" si="14"/>
        <v>-4.6216217410022409E-2</v>
      </c>
      <c r="AI19">
        <f t="shared" si="15"/>
        <v>-1.1754391401634872E-2</v>
      </c>
      <c r="AJ19">
        <f t="shared" si="16"/>
        <v>7.1443782399249294</v>
      </c>
      <c r="AL19" t="s">
        <v>303</v>
      </c>
      <c r="AM19" s="1" t="s">
        <v>139</v>
      </c>
      <c r="AN19">
        <v>17</v>
      </c>
      <c r="AO19">
        <f>AN19/AN51*100</f>
        <v>1.6236867239732569</v>
      </c>
      <c r="AP19">
        <v>10</v>
      </c>
      <c r="AQ19">
        <v>3</v>
      </c>
      <c r="AR19">
        <v>4</v>
      </c>
      <c r="AU19">
        <f t="shared" si="17"/>
        <v>1.6221374045801526E-2</v>
      </c>
      <c r="AV19">
        <f t="shared" si="18"/>
        <v>2.6313297593380335E-4</v>
      </c>
      <c r="AW19">
        <f t="shared" si="19"/>
        <v>-4.1214255208247712</v>
      </c>
      <c r="AX19">
        <f t="shared" si="20"/>
        <v>-6.6855184975210979E-2</v>
      </c>
      <c r="AY19">
        <f t="shared" si="21"/>
        <v>-1.7269882082287379E-2</v>
      </c>
      <c r="AZ19">
        <f t="shared" si="22"/>
        <v>6.7580791631521038</v>
      </c>
      <c r="BC19" t="s">
        <v>303</v>
      </c>
      <c r="BD19" s="27" t="s">
        <v>643</v>
      </c>
      <c r="BE19" s="9">
        <v>26</v>
      </c>
      <c r="BF19">
        <f>BE19/BE59*100</f>
        <v>0.95342867620095351</v>
      </c>
      <c r="BG19">
        <f t="shared" si="23"/>
        <v>9.5342867620095348E-3</v>
      </c>
      <c r="BH19">
        <f t="shared" si="24"/>
        <v>9.0902624060230255E-5</v>
      </c>
      <c r="BI19">
        <f t="shared" si="25"/>
        <v>-4.6528608448241062</v>
      </c>
      <c r="BJ19">
        <f t="shared" si="26"/>
        <v>-4.4361709558278978E-2</v>
      </c>
      <c r="BK19">
        <f t="shared" si="27"/>
        <v>-1.1070132556423678E-2</v>
      </c>
      <c r="BL19">
        <f t="shared" si="28"/>
        <v>6.8259753385975239</v>
      </c>
      <c r="BO19" t="s">
        <v>303</v>
      </c>
      <c r="BP19" t="s">
        <v>107</v>
      </c>
      <c r="BQ19">
        <v>3</v>
      </c>
      <c r="BR19">
        <v>2</v>
      </c>
      <c r="BU19">
        <f t="shared" si="29"/>
        <v>5</v>
      </c>
      <c r="BV19">
        <f>BU19/BU67*100</f>
        <v>9.7809076682316115E-2</v>
      </c>
      <c r="BW19">
        <f t="shared" si="30"/>
        <v>9.7809076682316121E-4</v>
      </c>
      <c r="BX19">
        <f t="shared" si="31"/>
        <v>9.5666154814471954E-7</v>
      </c>
      <c r="BY19">
        <f t="shared" si="32"/>
        <v>-6.9299080836232703</v>
      </c>
      <c r="BZ19">
        <f t="shared" si="33"/>
        <v>-6.7780791115251079E-3</v>
      </c>
      <c r="CA19">
        <f t="shared" si="34"/>
        <v>-1.6359784460662429E-3</v>
      </c>
      <c r="CB19">
        <f t="shared" si="35"/>
        <v>7.2605091805186834</v>
      </c>
      <c r="CD19" t="s">
        <v>303</v>
      </c>
      <c r="CE19" t="s">
        <v>15</v>
      </c>
      <c r="CF19">
        <v>3</v>
      </c>
      <c r="CH19">
        <v>5</v>
      </c>
      <c r="CI19">
        <v>1</v>
      </c>
      <c r="CJ19">
        <f t="shared" si="36"/>
        <v>9</v>
      </c>
      <c r="CK19">
        <f>CJ19/CJ56*100</f>
        <v>0.16129032258064516</v>
      </c>
      <c r="CL19">
        <f t="shared" si="37"/>
        <v>1.6129032258064516E-3</v>
      </c>
      <c r="CM19">
        <f t="shared" si="38"/>
        <v>2.6014568158168575E-6</v>
      </c>
      <c r="CN19">
        <f t="shared" si="39"/>
        <v>-6.4297194780391376</v>
      </c>
      <c r="CO19">
        <f t="shared" si="40"/>
        <v>-1.0370515287159899E-2</v>
      </c>
      <c r="CP19">
        <f t="shared" si="41"/>
        <v>-2.6246205057892792E-3</v>
      </c>
      <c r="CQ19">
        <f t="shared" si="42"/>
        <v>5.9117109920543012</v>
      </c>
      <c r="CT19" t="s">
        <v>304</v>
      </c>
      <c r="CU19" s="1" t="s">
        <v>20</v>
      </c>
      <c r="CV19">
        <v>17</v>
      </c>
      <c r="CW19">
        <v>35</v>
      </c>
      <c r="CX19">
        <v>1810</v>
      </c>
      <c r="CY19">
        <v>1525</v>
      </c>
      <c r="CZ19">
        <f t="shared" si="43"/>
        <v>3387</v>
      </c>
      <c r="DA19" s="15">
        <f>CZ19/CZ72*100</f>
        <v>56.752680965147448</v>
      </c>
      <c r="DB19">
        <f t="shared" si="81"/>
        <v>0.56752680965147451</v>
      </c>
      <c r="DC19" s="2">
        <f t="shared" si="44"/>
        <v>0.322086679673181</v>
      </c>
      <c r="DD19">
        <f t="shared" si="45"/>
        <v>-1.1329345781316502</v>
      </c>
      <c r="DE19">
        <f t="shared" si="46"/>
        <v>-0.6429707466708946</v>
      </c>
      <c r="DF19">
        <f t="shared" si="47"/>
        <v>-0.15238051251385482</v>
      </c>
      <c r="DG19">
        <f t="shared" si="48"/>
        <v>7.7063160745129649</v>
      </c>
      <c r="DI19" t="s">
        <v>303</v>
      </c>
      <c r="DJ19" t="s">
        <v>14</v>
      </c>
      <c r="DK19">
        <v>1</v>
      </c>
      <c r="DL19">
        <f t="shared" si="49"/>
        <v>7.2463768115942032E-2</v>
      </c>
      <c r="DM19">
        <f t="shared" si="50"/>
        <v>7.246376811594203E-4</v>
      </c>
      <c r="DN19">
        <f t="shared" si="51"/>
        <v>5.2509976895610164E-7</v>
      </c>
      <c r="DO19">
        <f t="shared" si="52"/>
        <v>-7.2298387781512501</v>
      </c>
      <c r="DP19">
        <f t="shared" si="53"/>
        <v>-5.2390136073559787E-3</v>
      </c>
      <c r="DQ19">
        <f t="shared" si="54"/>
        <v>-1.4619745834559778E-3</v>
      </c>
      <c r="DR19">
        <f t="shared" si="55"/>
        <v>5.2558124663256702</v>
      </c>
      <c r="DT19" t="s">
        <v>303</v>
      </c>
      <c r="DU19" t="s">
        <v>14</v>
      </c>
      <c r="DV19">
        <v>5</v>
      </c>
      <c r="DX19">
        <v>1</v>
      </c>
      <c r="DY19">
        <v>2</v>
      </c>
      <c r="DZ19">
        <f t="shared" si="56"/>
        <v>8</v>
      </c>
      <c r="EA19">
        <f t="shared" si="57"/>
        <v>0.9400705052878966</v>
      </c>
      <c r="EB19">
        <f t="shared" si="58"/>
        <v>9.4007050528789656E-3</v>
      </c>
      <c r="EC19">
        <f t="shared" si="59"/>
        <v>8.8373255491224113E-5</v>
      </c>
      <c r="ED19">
        <f t="shared" si="60"/>
        <v>-4.6669705868935383</v>
      </c>
      <c r="EE19">
        <f t="shared" si="61"/>
        <v>-4.3872813977847598E-2</v>
      </c>
      <c r="EF19">
        <f t="shared" si="79"/>
        <v>-1.1738012841808485E-2</v>
      </c>
      <c r="EH19" t="s">
        <v>315</v>
      </c>
      <c r="EI19" t="s">
        <v>364</v>
      </c>
      <c r="EJ19">
        <v>17</v>
      </c>
      <c r="EK19">
        <v>11</v>
      </c>
      <c r="EL19">
        <v>35</v>
      </c>
      <c r="EM19">
        <f t="shared" si="62"/>
        <v>63</v>
      </c>
      <c r="EN19">
        <f t="shared" si="63"/>
        <v>8.5250338294993231</v>
      </c>
      <c r="EO19">
        <f t="shared" si="64"/>
        <v>8.5250338294993233E-2</v>
      </c>
      <c r="EP19">
        <f t="shared" si="65"/>
        <v>7.2676201794107899E-3</v>
      </c>
      <c r="EQ19">
        <f t="shared" si="66"/>
        <v>-2.4621631945566689</v>
      </c>
      <c r="ER19">
        <f t="shared" si="67"/>
        <v>-0.20990024527343726</v>
      </c>
      <c r="ES19">
        <f t="shared" si="68"/>
        <v>-5.5467686764973344E-2</v>
      </c>
      <c r="ET19">
        <f t="shared" si="69"/>
        <v>6.5099258980626384</v>
      </c>
      <c r="EV19" t="s">
        <v>303</v>
      </c>
      <c r="EW19" t="s">
        <v>365</v>
      </c>
      <c r="EZ19">
        <v>1</v>
      </c>
      <c r="FA19">
        <v>3</v>
      </c>
      <c r="FB19">
        <f t="shared" si="70"/>
        <v>4</v>
      </c>
      <c r="FC19">
        <f t="shared" si="71"/>
        <v>0.6578947368421052</v>
      </c>
      <c r="FD19">
        <f t="shared" si="72"/>
        <v>6.5789473684210523E-3</v>
      </c>
      <c r="FE19">
        <f t="shared" si="73"/>
        <v>4.3282548476454287E-5</v>
      </c>
      <c r="FF19">
        <f t="shared" si="74"/>
        <v>-5.0238805208462765</v>
      </c>
      <c r="FG19">
        <f t="shared" si="75"/>
        <v>-3.3051845531883395E-2</v>
      </c>
      <c r="FH19">
        <f t="shared" si="76"/>
        <v>-8.6826309452713319E-3</v>
      </c>
      <c r="FI19">
        <f t="shared" si="77"/>
        <v>6.8640873002990608</v>
      </c>
    </row>
    <row r="20" spans="1:165" ht="15.75" x14ac:dyDescent="0.25">
      <c r="A20" t="s">
        <v>315</v>
      </c>
      <c r="B20" s="6" t="s">
        <v>123</v>
      </c>
      <c r="C20">
        <v>12</v>
      </c>
      <c r="D20">
        <f>(C20/C31)*100</f>
        <v>1.5</v>
      </c>
      <c r="E20">
        <f t="shared" si="0"/>
        <v>1.4999999999999999E-2</v>
      </c>
      <c r="F20">
        <f t="shared" si="1"/>
        <v>2.2499999999999999E-4</v>
      </c>
      <c r="G20">
        <f t="shared" si="2"/>
        <v>-4.1997050778799272</v>
      </c>
      <c r="H20">
        <f t="shared" si="3"/>
        <v>-6.2995576168198911E-2</v>
      </c>
      <c r="I20">
        <f t="shared" si="4"/>
        <v>-1.9113681510751136E-2</v>
      </c>
      <c r="J20">
        <f t="shared" si="5"/>
        <v>3.8895303211680581</v>
      </c>
      <c r="L20" t="s">
        <v>303</v>
      </c>
      <c r="M20" t="s">
        <v>81</v>
      </c>
      <c r="N20">
        <v>14</v>
      </c>
      <c r="O20">
        <f>N20/N46*100</f>
        <v>1.4814814814814816</v>
      </c>
      <c r="P20">
        <f t="shared" si="6"/>
        <v>1.4814814814814815E-2</v>
      </c>
      <c r="Q20">
        <f t="shared" si="7"/>
        <v>2.1947873799725654E-4</v>
      </c>
      <c r="R20">
        <f t="shared" si="8"/>
        <v>-4.2121275978784842</v>
      </c>
      <c r="S20">
        <f t="shared" si="9"/>
        <v>-6.2401890338940509E-2</v>
      </c>
      <c r="T20">
        <f t="shared" si="10"/>
        <v>-1.6695400265901609E-2</v>
      </c>
      <c r="U20">
        <f t="shared" si="11"/>
        <v>5.9843662715141974</v>
      </c>
      <c r="W20" t="s">
        <v>315</v>
      </c>
      <c r="X20" s="10" t="s">
        <v>194</v>
      </c>
      <c r="Y20">
        <v>12</v>
      </c>
      <c r="Z20">
        <v>10</v>
      </c>
      <c r="AC20" s="9">
        <f t="shared" si="82"/>
        <v>22</v>
      </c>
      <c r="AD20">
        <f>AC20/AC53*100</f>
        <v>2.0183486238532113</v>
      </c>
      <c r="AE20">
        <f t="shared" si="78"/>
        <v>2.0091324200913242E-2</v>
      </c>
      <c r="AF20">
        <f t="shared" si="12"/>
        <v>4.0366130814620211E-4</v>
      </c>
      <c r="AG20">
        <f t="shared" si="13"/>
        <v>-3.9074671888922854</v>
      </c>
      <c r="AH20">
        <f t="shared" si="14"/>
        <v>-7.8506190096466005E-2</v>
      </c>
      <c r="AI20">
        <f t="shared" si="15"/>
        <v>-1.9966854441118689E-2</v>
      </c>
      <c r="AJ20">
        <f t="shared" si="16"/>
        <v>7.1443782399249294</v>
      </c>
      <c r="AL20" t="s">
        <v>315</v>
      </c>
      <c r="AM20" s="1" t="s">
        <v>140</v>
      </c>
      <c r="AN20">
        <v>19</v>
      </c>
      <c r="AO20">
        <f>AN20/AN51*100</f>
        <v>1.8147086914995225</v>
      </c>
      <c r="AP20">
        <v>7</v>
      </c>
      <c r="AQ20">
        <v>3</v>
      </c>
      <c r="AR20">
        <v>3</v>
      </c>
      <c r="AS20">
        <v>6</v>
      </c>
      <c r="AU20">
        <f t="shared" si="17"/>
        <v>1.8129770992366411E-2</v>
      </c>
      <c r="AV20">
        <f t="shared" si="18"/>
        <v>3.2868859623565058E-4</v>
      </c>
      <c r="AW20">
        <f t="shared" si="19"/>
        <v>-4.0101998857145471</v>
      </c>
      <c r="AX20">
        <f t="shared" si="20"/>
        <v>-7.2704005561618698E-2</v>
      </c>
      <c r="AY20">
        <f t="shared" si="21"/>
        <v>-1.8780736354624954E-2</v>
      </c>
      <c r="AZ20">
        <f t="shared" si="22"/>
        <v>6.7580791631521038</v>
      </c>
      <c r="BC20" t="s">
        <v>315</v>
      </c>
      <c r="BD20" s="27" t="s">
        <v>644</v>
      </c>
      <c r="BE20" s="9">
        <v>3</v>
      </c>
      <c r="BF20" s="20">
        <f>BE20/BE59*100</f>
        <v>0.11001100110011</v>
      </c>
      <c r="BG20">
        <f t="shared" si="23"/>
        <v>1.1001100110011001E-3</v>
      </c>
      <c r="BH20">
        <f t="shared" si="24"/>
        <v>1.2102420363048405E-6</v>
      </c>
      <c r="BI20">
        <f t="shared" si="25"/>
        <v>-6.8123450941774788</v>
      </c>
      <c r="BJ20">
        <f t="shared" si="26"/>
        <v>-7.4943290364988761E-3</v>
      </c>
      <c r="BK20">
        <f t="shared" si="27"/>
        <v>-1.8701537132266477E-3</v>
      </c>
      <c r="BL20">
        <f t="shared" si="28"/>
        <v>6.8259753385975239</v>
      </c>
      <c r="BO20" t="s">
        <v>303</v>
      </c>
      <c r="BP20" s="1" t="s">
        <v>126</v>
      </c>
      <c r="BQ20">
        <v>1</v>
      </c>
      <c r="BR20">
        <v>1</v>
      </c>
      <c r="BS20">
        <v>3</v>
      </c>
      <c r="BU20">
        <f t="shared" si="29"/>
        <v>5</v>
      </c>
      <c r="BV20">
        <f>BU20/BU67*100</f>
        <v>9.7809076682316115E-2</v>
      </c>
      <c r="BW20">
        <f t="shared" si="30"/>
        <v>9.7809076682316121E-4</v>
      </c>
      <c r="BX20">
        <f t="shared" si="31"/>
        <v>9.5666154814471954E-7</v>
      </c>
      <c r="BY20">
        <f t="shared" si="32"/>
        <v>-6.9299080836232703</v>
      </c>
      <c r="BZ20">
        <f t="shared" si="33"/>
        <v>-6.7780791115251079E-3</v>
      </c>
      <c r="CA20">
        <f t="shared" si="34"/>
        <v>-1.6359784460662429E-3</v>
      </c>
      <c r="CB20">
        <f t="shared" si="35"/>
        <v>7.2605091805186834</v>
      </c>
      <c r="CD20" t="s">
        <v>315</v>
      </c>
      <c r="CE20" s="1" t="s">
        <v>20</v>
      </c>
      <c r="CF20">
        <v>14</v>
      </c>
      <c r="CG20">
        <v>27</v>
      </c>
      <c r="CH20">
        <v>10</v>
      </c>
      <c r="CI20">
        <v>10</v>
      </c>
      <c r="CJ20">
        <f t="shared" si="36"/>
        <v>61</v>
      </c>
      <c r="CK20">
        <f>CJ20/CJ56*100</f>
        <v>1.0931899641577061</v>
      </c>
      <c r="CL20">
        <f t="shared" si="37"/>
        <v>1.0931899641577061E-2</v>
      </c>
      <c r="CM20">
        <f t="shared" si="38"/>
        <v>1.1950642977351267E-4</v>
      </c>
      <c r="CN20">
        <f t="shared" si="39"/>
        <v>-4.5160701912020453</v>
      </c>
      <c r="CO20">
        <f t="shared" si="40"/>
        <v>-4.9369226104538484E-2</v>
      </c>
      <c r="CP20">
        <f t="shared" si="41"/>
        <v>-1.2494604134989422E-2</v>
      </c>
      <c r="CQ20">
        <f t="shared" si="42"/>
        <v>5.9117109920543012</v>
      </c>
      <c r="CT20" t="s">
        <v>304</v>
      </c>
      <c r="CU20" t="s">
        <v>225</v>
      </c>
      <c r="CV20">
        <v>45</v>
      </c>
      <c r="CW20">
        <v>128</v>
      </c>
      <c r="CX20">
        <v>615</v>
      </c>
      <c r="CY20">
        <v>765</v>
      </c>
      <c r="CZ20">
        <f t="shared" si="43"/>
        <v>1553</v>
      </c>
      <c r="DA20">
        <f>CZ20/CZ72*100</f>
        <v>26.022117962466488</v>
      </c>
      <c r="DB20">
        <f t="shared" si="81"/>
        <v>0.2602211796246649</v>
      </c>
      <c r="DC20" s="2">
        <f t="shared" si="44"/>
        <v>6.7715062325252109E-2</v>
      </c>
      <c r="DD20">
        <f t="shared" si="45"/>
        <v>-2.6924466374698195</v>
      </c>
      <c r="DE20">
        <f t="shared" si="46"/>
        <v>-0.70063164007885892</v>
      </c>
      <c r="DF20">
        <f t="shared" si="47"/>
        <v>-0.1660458254927199</v>
      </c>
      <c r="DG20">
        <f t="shared" si="48"/>
        <v>7.7063160745129649</v>
      </c>
      <c r="DI20" t="s">
        <v>303</v>
      </c>
      <c r="DJ20" t="s">
        <v>6</v>
      </c>
      <c r="DK20">
        <v>3</v>
      </c>
      <c r="DL20">
        <f t="shared" si="49"/>
        <v>0.21739130434782608</v>
      </c>
      <c r="DM20">
        <f t="shared" si="50"/>
        <v>2.1739130434782609E-3</v>
      </c>
      <c r="DN20">
        <f t="shared" si="51"/>
        <v>4.7258979206049154E-6</v>
      </c>
      <c r="DO20">
        <f t="shared" si="52"/>
        <v>-6.131226489483141</v>
      </c>
      <c r="DP20">
        <f t="shared" si="53"/>
        <v>-1.3328753238006828E-2</v>
      </c>
      <c r="DQ20">
        <f t="shared" si="54"/>
        <v>-3.7194594104054783E-3</v>
      </c>
      <c r="DR20">
        <f t="shared" si="55"/>
        <v>5.2558124663256702</v>
      </c>
      <c r="DT20" t="s">
        <v>303</v>
      </c>
      <c r="DU20" t="s">
        <v>6</v>
      </c>
      <c r="DV20">
        <v>6</v>
      </c>
      <c r="DW20">
        <v>4</v>
      </c>
      <c r="DX20">
        <v>1</v>
      </c>
      <c r="DY20">
        <v>9</v>
      </c>
      <c r="DZ20">
        <f t="shared" si="56"/>
        <v>20</v>
      </c>
      <c r="EA20">
        <f t="shared" si="57"/>
        <v>2.3501762632197414</v>
      </c>
      <c r="EB20">
        <f t="shared" si="58"/>
        <v>2.3501762632197415E-2</v>
      </c>
      <c r="EC20">
        <f t="shared" si="59"/>
        <v>5.5233284682015078E-4</v>
      </c>
      <c r="ED20">
        <f t="shared" si="60"/>
        <v>-3.7506798550193832</v>
      </c>
      <c r="EE20">
        <f t="shared" si="61"/>
        <v>-8.8147587662030152E-2</v>
      </c>
      <c r="EF20">
        <f t="shared" si="79"/>
        <v>-2.3583568550532952E-2</v>
      </c>
      <c r="EH20" t="s">
        <v>303</v>
      </c>
      <c r="EI20" t="s">
        <v>365</v>
      </c>
      <c r="EK20">
        <v>1</v>
      </c>
      <c r="EL20">
        <v>1</v>
      </c>
      <c r="EM20">
        <f t="shared" si="62"/>
        <v>2</v>
      </c>
      <c r="EN20">
        <f t="shared" si="63"/>
        <v>0.2706359945872801</v>
      </c>
      <c r="EO20">
        <f t="shared" si="64"/>
        <v>2.7063599458728013E-3</v>
      </c>
      <c r="EP20">
        <f t="shared" si="65"/>
        <v>7.324384156624632E-6</v>
      </c>
      <c r="EQ20">
        <f t="shared" si="66"/>
        <v>-5.9121507403882561</v>
      </c>
      <c r="ER20">
        <f t="shared" si="67"/>
        <v>-1.6000407957749003E-2</v>
      </c>
      <c r="ES20">
        <f t="shared" si="68"/>
        <v>-4.2282257248249236E-3</v>
      </c>
      <c r="ET20">
        <f t="shared" si="69"/>
        <v>6.5099258980626384</v>
      </c>
      <c r="EV20" t="s">
        <v>303</v>
      </c>
      <c r="EW20" t="s">
        <v>400</v>
      </c>
      <c r="EY20">
        <v>1</v>
      </c>
      <c r="EZ20">
        <v>4</v>
      </c>
      <c r="FA20">
        <v>2</v>
      </c>
      <c r="FB20">
        <f t="shared" si="70"/>
        <v>7</v>
      </c>
      <c r="FC20">
        <f t="shared" si="71"/>
        <v>1.1513157894736841</v>
      </c>
      <c r="FD20">
        <f t="shared" si="72"/>
        <v>1.1513157894736841E-2</v>
      </c>
      <c r="FE20">
        <f t="shared" si="73"/>
        <v>1.3255280470914126E-4</v>
      </c>
      <c r="FF20">
        <f t="shared" si="74"/>
        <v>-4.4642647329108538</v>
      </c>
      <c r="FG20">
        <f t="shared" si="75"/>
        <v>-5.1397784753907855E-2</v>
      </c>
      <c r="FH20">
        <f t="shared" si="76"/>
        <v>-1.3502059846920921E-2</v>
      </c>
      <c r="FI20">
        <f t="shared" si="77"/>
        <v>6.8640873002990608</v>
      </c>
    </row>
    <row r="21" spans="1:165" ht="15.75" x14ac:dyDescent="0.25">
      <c r="A21" t="s">
        <v>315</v>
      </c>
      <c r="B21" s="7" t="s">
        <v>124</v>
      </c>
      <c r="C21">
        <v>24</v>
      </c>
      <c r="D21">
        <f>(C21/C31)*100</f>
        <v>3</v>
      </c>
      <c r="E21">
        <f t="shared" si="0"/>
        <v>0.03</v>
      </c>
      <c r="F21">
        <f t="shared" si="1"/>
        <v>8.9999999999999998E-4</v>
      </c>
      <c r="G21">
        <f t="shared" si="2"/>
        <v>-3.5065578973199818</v>
      </c>
      <c r="H21">
        <f t="shared" si="3"/>
        <v>-0.10519673691959945</v>
      </c>
      <c r="I21">
        <f t="shared" si="4"/>
        <v>-3.191806548578769E-2</v>
      </c>
      <c r="J21">
        <f t="shared" si="5"/>
        <v>3.8895303211680581</v>
      </c>
      <c r="L21" t="s">
        <v>303</v>
      </c>
      <c r="M21" s="1" t="s">
        <v>53</v>
      </c>
      <c r="N21">
        <v>7</v>
      </c>
      <c r="O21">
        <f>N21/N46*100</f>
        <v>0.74074074074074081</v>
      </c>
      <c r="P21">
        <f t="shared" si="6"/>
        <v>7.4074074074074077E-3</v>
      </c>
      <c r="Q21">
        <f t="shared" si="7"/>
        <v>5.4869684499314136E-5</v>
      </c>
      <c r="R21">
        <f t="shared" si="8"/>
        <v>-4.9052747784384296</v>
      </c>
      <c r="S21">
        <f t="shared" si="9"/>
        <v>-3.6335368729173555E-2</v>
      </c>
      <c r="T21">
        <f t="shared" si="10"/>
        <v>-9.7213966026942784E-3</v>
      </c>
      <c r="U21">
        <f t="shared" si="11"/>
        <v>5.9843662715141974</v>
      </c>
      <c r="W21" t="s">
        <v>303</v>
      </c>
      <c r="X21" s="11" t="s">
        <v>195</v>
      </c>
      <c r="Y21">
        <v>2</v>
      </c>
      <c r="AC21" s="9">
        <f t="shared" si="82"/>
        <v>2</v>
      </c>
      <c r="AD21">
        <f>AC21/AC53*100</f>
        <v>0.1834862385321101</v>
      </c>
      <c r="AE21">
        <f t="shared" si="78"/>
        <v>1.8264840182648401E-3</v>
      </c>
      <c r="AF21">
        <f t="shared" si="12"/>
        <v>3.336043868976877E-6</v>
      </c>
      <c r="AG21">
        <f t="shared" si="13"/>
        <v>-6.3053624616906561</v>
      </c>
      <c r="AH21">
        <f t="shared" si="14"/>
        <v>-1.1516643765645034E-2</v>
      </c>
      <c r="AI21">
        <f t="shared" si="15"/>
        <v>-2.929083037099297E-3</v>
      </c>
      <c r="AJ21">
        <f t="shared" si="16"/>
        <v>7.1443782399249294</v>
      </c>
      <c r="AL21" t="s">
        <v>315</v>
      </c>
      <c r="AM21" s="19" t="s">
        <v>141</v>
      </c>
      <c r="AN21" s="20">
        <v>39</v>
      </c>
      <c r="AO21" s="20">
        <f>AN21/AN51*100</f>
        <v>3.7249283667621778</v>
      </c>
      <c r="AP21">
        <v>5</v>
      </c>
      <c r="AQ21">
        <v>13</v>
      </c>
      <c r="AR21">
        <v>15</v>
      </c>
      <c r="AS21">
        <v>6</v>
      </c>
      <c r="AU21">
        <f t="shared" si="17"/>
        <v>3.7213740458015267E-2</v>
      </c>
      <c r="AV21">
        <f t="shared" si="18"/>
        <v>1.3848624788765224E-3</v>
      </c>
      <c r="AW21">
        <f t="shared" si="19"/>
        <v>-3.2910772187513411</v>
      </c>
      <c r="AX21">
        <f t="shared" si="20"/>
        <v>-0.12247329344589915</v>
      </c>
      <c r="AY21">
        <f t="shared" si="21"/>
        <v>-3.1637027656483324E-2</v>
      </c>
      <c r="AZ21">
        <f t="shared" si="22"/>
        <v>6.7580791631521038</v>
      </c>
      <c r="BC21" t="s">
        <v>303</v>
      </c>
      <c r="BD21" s="27" t="s">
        <v>645</v>
      </c>
      <c r="BE21" s="9">
        <v>5</v>
      </c>
      <c r="BF21">
        <f>BE21/BE59*100</f>
        <v>0.18335166850018336</v>
      </c>
      <c r="BG21">
        <f t="shared" si="23"/>
        <v>1.8335166850018336E-3</v>
      </c>
      <c r="BH21">
        <f t="shared" si="24"/>
        <v>3.3617834341801131E-6</v>
      </c>
      <c r="BI21">
        <f t="shared" si="25"/>
        <v>-6.3015194704114883</v>
      </c>
      <c r="BJ21">
        <f t="shared" si="26"/>
        <v>-1.1553941089863382E-2</v>
      </c>
      <c r="BK21">
        <f t="shared" si="27"/>
        <v>-2.8831995134422847E-3</v>
      </c>
      <c r="BL21">
        <f t="shared" si="28"/>
        <v>6.8259753385975239</v>
      </c>
      <c r="BO21" t="s">
        <v>303</v>
      </c>
      <c r="BP21" t="s">
        <v>115</v>
      </c>
      <c r="BQ21">
        <v>17</v>
      </c>
      <c r="BR21">
        <v>5</v>
      </c>
      <c r="BS21">
        <v>3</v>
      </c>
      <c r="BT21">
        <v>6</v>
      </c>
      <c r="BU21">
        <f t="shared" si="29"/>
        <v>31</v>
      </c>
      <c r="BV21">
        <f>BU21/BU67*100</f>
        <v>0.60641627543035992</v>
      </c>
      <c r="BW21">
        <f t="shared" si="30"/>
        <v>6.0641627543035993E-3</v>
      </c>
      <c r="BX21">
        <f t="shared" si="31"/>
        <v>3.6774069910683014E-5</v>
      </c>
      <c r="BY21">
        <f t="shared" si="32"/>
        <v>-5.1053587915722245</v>
      </c>
      <c r="BZ21">
        <f t="shared" si="33"/>
        <v>-3.0959726631208717E-2</v>
      </c>
      <c r="CA21">
        <f t="shared" si="34"/>
        <v>-7.4725367809057759E-3</v>
      </c>
      <c r="CB21">
        <f t="shared" si="35"/>
        <v>7.2605091805186834</v>
      </c>
      <c r="CD21" t="s">
        <v>315</v>
      </c>
      <c r="CE21" s="1" t="s">
        <v>172</v>
      </c>
      <c r="CF21">
        <v>2</v>
      </c>
      <c r="CH21">
        <v>4</v>
      </c>
      <c r="CI21">
        <v>9</v>
      </c>
      <c r="CJ21">
        <f t="shared" si="36"/>
        <v>15</v>
      </c>
      <c r="CK21">
        <f>CJ21/CJ56*100</f>
        <v>0.26881720430107531</v>
      </c>
      <c r="CL21">
        <f t="shared" si="37"/>
        <v>2.6881720430107529E-3</v>
      </c>
      <c r="CM21">
        <f t="shared" si="38"/>
        <v>7.2262689328246053E-6</v>
      </c>
      <c r="CN21">
        <f t="shared" si="39"/>
        <v>-5.9188938542731462</v>
      </c>
      <c r="CO21">
        <f t="shared" si="40"/>
        <v>-1.5911004984605234E-2</v>
      </c>
      <c r="CP21">
        <f t="shared" si="41"/>
        <v>-4.0268346165995526E-3</v>
      </c>
      <c r="CQ21">
        <f t="shared" si="42"/>
        <v>5.9117109920543012</v>
      </c>
      <c r="CT21" t="s">
        <v>304</v>
      </c>
      <c r="CU21" t="s">
        <v>226</v>
      </c>
      <c r="CV21">
        <v>2</v>
      </c>
      <c r="CW21">
        <v>1</v>
      </c>
      <c r="CZ21">
        <f t="shared" si="43"/>
        <v>3</v>
      </c>
      <c r="DA21">
        <f>CZ21/CZ72*100</f>
        <v>5.0268096514745307E-2</v>
      </c>
      <c r="DB21">
        <f t="shared" si="81"/>
        <v>5.0268096514745309E-4</v>
      </c>
      <c r="DC21" s="2">
        <f t="shared" si="44"/>
        <v>2.5268815272157497E-7</v>
      </c>
      <c r="DD21">
        <f t="shared" si="45"/>
        <v>-15.191109706430973</v>
      </c>
      <c r="DE21">
        <f t="shared" si="46"/>
        <v>-7.6362816888895643E-3</v>
      </c>
      <c r="DF21">
        <f t="shared" si="47"/>
        <v>-1.8097565456562791E-3</v>
      </c>
      <c r="DG21">
        <f t="shared" si="48"/>
        <v>7.7063160745129649</v>
      </c>
      <c r="DI21" t="s">
        <v>315</v>
      </c>
      <c r="DJ21" t="s">
        <v>364</v>
      </c>
      <c r="DK21">
        <v>10</v>
      </c>
      <c r="DL21">
        <f t="shared" si="49"/>
        <v>0.72463768115942029</v>
      </c>
      <c r="DM21">
        <f t="shared" si="50"/>
        <v>7.246376811594203E-3</v>
      </c>
      <c r="DN21">
        <f t="shared" si="51"/>
        <v>5.250997689561017E-5</v>
      </c>
      <c r="DO21">
        <f t="shared" si="52"/>
        <v>-4.9272536851572051</v>
      </c>
      <c r="DP21">
        <f t="shared" si="53"/>
        <v>-3.5704736848965253E-2</v>
      </c>
      <c r="DQ21">
        <f t="shared" si="54"/>
        <v>-9.9635965268117018E-3</v>
      </c>
      <c r="DR21">
        <f t="shared" si="55"/>
        <v>5.2558124663256702</v>
      </c>
      <c r="DT21" t="s">
        <v>315</v>
      </c>
      <c r="DU21" t="s">
        <v>364</v>
      </c>
      <c r="DV21">
        <v>1</v>
      </c>
      <c r="DX21">
        <v>53</v>
      </c>
      <c r="DY21">
        <v>1</v>
      </c>
      <c r="DZ21">
        <f t="shared" si="56"/>
        <v>55</v>
      </c>
      <c r="EA21">
        <f t="shared" si="57"/>
        <v>6.4629847238542881</v>
      </c>
      <c r="EB21">
        <f t="shared" si="58"/>
        <v>6.4629847238542884E-2</v>
      </c>
      <c r="EC21">
        <f t="shared" si="59"/>
        <v>4.1770171540773896E-3</v>
      </c>
      <c r="ED21">
        <f t="shared" si="60"/>
        <v>-2.7390789433409033</v>
      </c>
      <c r="EE21">
        <f t="shared" si="61"/>
        <v>-0.17702625368243205</v>
      </c>
      <c r="EF21">
        <f t="shared" si="79"/>
        <v>-4.7362734474037438E-2</v>
      </c>
      <c r="EH21" t="s">
        <v>303</v>
      </c>
      <c r="EI21" t="s">
        <v>55</v>
      </c>
      <c r="EJ21">
        <v>1</v>
      </c>
      <c r="EK21">
        <v>6</v>
      </c>
      <c r="EL21">
        <v>3</v>
      </c>
      <c r="EM21">
        <f t="shared" si="62"/>
        <v>10</v>
      </c>
      <c r="EN21">
        <f t="shared" si="63"/>
        <v>1.3531799729364005</v>
      </c>
      <c r="EO21">
        <f t="shared" si="64"/>
        <v>1.3531799729364006E-2</v>
      </c>
      <c r="EP21">
        <f t="shared" si="65"/>
        <v>1.8310960391561577E-4</v>
      </c>
      <c r="EQ21">
        <f t="shared" si="66"/>
        <v>-4.3027128279541564</v>
      </c>
      <c r="ER21">
        <f t="shared" si="67"/>
        <v>-5.8223448280841091E-2</v>
      </c>
      <c r="ES21">
        <f t="shared" si="68"/>
        <v>-1.5385975311325724E-2</v>
      </c>
      <c r="ET21">
        <f t="shared" si="69"/>
        <v>6.5099258980626384</v>
      </c>
      <c r="EV21" t="s">
        <v>303</v>
      </c>
      <c r="EW21" t="s">
        <v>49</v>
      </c>
      <c r="EX21">
        <v>4</v>
      </c>
      <c r="EY21">
        <v>1</v>
      </c>
      <c r="FA21">
        <v>6</v>
      </c>
      <c r="FB21">
        <f t="shared" si="70"/>
        <v>11</v>
      </c>
      <c r="FC21">
        <f t="shared" si="71"/>
        <v>1.8092105263157896</v>
      </c>
      <c r="FD21">
        <f t="shared" si="72"/>
        <v>1.8092105263157895E-2</v>
      </c>
      <c r="FE21">
        <f t="shared" si="73"/>
        <v>3.2732427285318561E-4</v>
      </c>
      <c r="FF21">
        <f t="shared" si="74"/>
        <v>-4.0122796091677966</v>
      </c>
      <c r="FG21">
        <f t="shared" si="75"/>
        <v>-7.2590585034285796E-2</v>
      </c>
      <c r="FH21">
        <f t="shared" si="76"/>
        <v>-1.9069351493430049E-2</v>
      </c>
      <c r="FI21">
        <f t="shared" si="77"/>
        <v>6.8640873002990608</v>
      </c>
    </row>
    <row r="22" spans="1:165" x14ac:dyDescent="0.25">
      <c r="A22" t="s">
        <v>303</v>
      </c>
      <c r="B22" t="s">
        <v>125</v>
      </c>
      <c r="C22">
        <v>29</v>
      </c>
      <c r="D22">
        <f>(C22/C31)*100</f>
        <v>3.6249999999999996</v>
      </c>
      <c r="E22">
        <f t="shared" si="0"/>
        <v>3.6249999999999998E-2</v>
      </c>
      <c r="F22">
        <f t="shared" si="1"/>
        <v>1.3140624999999999E-3</v>
      </c>
      <c r="G22">
        <f t="shared" si="2"/>
        <v>-3.3173158976814534</v>
      </c>
      <c r="H22">
        <f t="shared" si="3"/>
        <v>-0.12025270129095268</v>
      </c>
      <c r="I22">
        <f t="shared" si="4"/>
        <v>-3.6486241940954955E-2</v>
      </c>
      <c r="J22">
        <f t="shared" si="5"/>
        <v>3.8895303211680581</v>
      </c>
      <c r="L22" t="s">
        <v>303</v>
      </c>
      <c r="M22" t="s">
        <v>82</v>
      </c>
      <c r="N22">
        <v>4</v>
      </c>
      <c r="O22">
        <f>N22/N46*100</f>
        <v>0.42328042328042331</v>
      </c>
      <c r="P22">
        <f t="shared" si="6"/>
        <v>4.2328042328042331E-3</v>
      </c>
      <c r="Q22">
        <f t="shared" si="7"/>
        <v>1.7916631673245431E-5</v>
      </c>
      <c r="R22">
        <f t="shared" si="8"/>
        <v>-5.4648905663738523</v>
      </c>
      <c r="S22">
        <f t="shared" si="9"/>
        <v>-2.3131811921159165E-2</v>
      </c>
      <c r="T22">
        <f t="shared" si="10"/>
        <v>-6.1888326908313288E-3</v>
      </c>
      <c r="U22">
        <f t="shared" si="11"/>
        <v>5.9843662715141974</v>
      </c>
      <c r="W22" t="s">
        <v>303</v>
      </c>
      <c r="X22" s="11" t="s">
        <v>196</v>
      </c>
      <c r="Y22">
        <v>1</v>
      </c>
      <c r="AA22">
        <v>40</v>
      </c>
      <c r="AC22" s="9">
        <f t="shared" si="82"/>
        <v>41</v>
      </c>
      <c r="AD22">
        <f>AC22/AC53*100</f>
        <v>3.761467889908257</v>
      </c>
      <c r="AE22">
        <f t="shared" si="78"/>
        <v>3.744292237442922E-2</v>
      </c>
      <c r="AF22">
        <f t="shared" si="12"/>
        <v>1.4019724359375324E-3</v>
      </c>
      <c r="AG22">
        <f t="shared" si="13"/>
        <v>-3.2849375755462935</v>
      </c>
      <c r="AH22">
        <f t="shared" si="14"/>
        <v>-0.12299766264602559</v>
      </c>
      <c r="AI22">
        <f t="shared" si="15"/>
        <v>-3.1282583241312674E-2</v>
      </c>
      <c r="AJ22">
        <f t="shared" si="16"/>
        <v>7.1443782399249294</v>
      </c>
      <c r="AL22" t="s">
        <v>303</v>
      </c>
      <c r="AM22" s="1" t="s">
        <v>96</v>
      </c>
      <c r="AN22">
        <v>3</v>
      </c>
      <c r="AO22">
        <f>AN22/AN51*100</f>
        <v>0.28653295128939826</v>
      </c>
      <c r="AP22">
        <v>3</v>
      </c>
      <c r="AU22">
        <f t="shared" si="17"/>
        <v>2.8625954198473282E-3</v>
      </c>
      <c r="AV22">
        <f t="shared" si="18"/>
        <v>8.1944525377309007E-6</v>
      </c>
      <c r="AW22">
        <f t="shared" si="19"/>
        <v>-5.8560265762128774</v>
      </c>
      <c r="AX22">
        <f t="shared" si="20"/>
        <v>-1.6763434855571215E-2</v>
      </c>
      <c r="AY22">
        <f t="shared" si="21"/>
        <v>-4.3302930559112919E-3</v>
      </c>
      <c r="AZ22">
        <f t="shared" si="22"/>
        <v>6.7580791631521038</v>
      </c>
      <c r="BC22" t="s">
        <v>315</v>
      </c>
      <c r="BD22" s="27" t="s">
        <v>646</v>
      </c>
      <c r="BE22" s="9">
        <v>41</v>
      </c>
      <c r="BF22">
        <f>BE22/BE59*100</f>
        <v>1.5034836817015034</v>
      </c>
      <c r="BG22">
        <f t="shared" si="23"/>
        <v>1.5034836817015035E-2</v>
      </c>
      <c r="BH22">
        <f t="shared" si="24"/>
        <v>2.2604631811427078E-4</v>
      </c>
      <c r="BI22">
        <f t="shared" si="25"/>
        <v>-4.1973853161412809</v>
      </c>
      <c r="BJ22">
        <f t="shared" si="26"/>
        <v>-6.3107003286319227E-2</v>
      </c>
      <c r="BK22">
        <f t="shared" si="27"/>
        <v>-1.5747880290782036E-2</v>
      </c>
      <c r="BL22">
        <f t="shared" si="28"/>
        <v>6.8259753385975239</v>
      </c>
      <c r="BO22" t="s">
        <v>303</v>
      </c>
      <c r="BP22" s="1" t="s">
        <v>170</v>
      </c>
      <c r="BQ22">
        <v>2</v>
      </c>
      <c r="BU22">
        <f t="shared" si="29"/>
        <v>2</v>
      </c>
      <c r="BV22">
        <f>BU22/BU67*100</f>
        <v>3.912363067292645E-2</v>
      </c>
      <c r="BW22">
        <f t="shared" si="30"/>
        <v>3.9123630672926448E-4</v>
      </c>
      <c r="BX22">
        <f t="shared" si="31"/>
        <v>1.5306584770315511E-7</v>
      </c>
      <c r="BY22">
        <f t="shared" si="32"/>
        <v>-7.8461988154974254</v>
      </c>
      <c r="BZ22">
        <f t="shared" si="33"/>
        <v>-3.0697178464387425E-3</v>
      </c>
      <c r="CA22">
        <f t="shared" si="34"/>
        <v>-7.4091673314044418E-4</v>
      </c>
      <c r="CB22">
        <f t="shared" si="35"/>
        <v>7.2605091805186834</v>
      </c>
      <c r="CD22" t="s">
        <v>315</v>
      </c>
      <c r="CE22" t="s">
        <v>225</v>
      </c>
      <c r="CF22">
        <v>2</v>
      </c>
      <c r="CG22">
        <v>10</v>
      </c>
      <c r="CI22">
        <v>15</v>
      </c>
      <c r="CJ22">
        <f t="shared" si="36"/>
        <v>27</v>
      </c>
      <c r="CK22">
        <f>CJ22/CJ56*100</f>
        <v>0.4838709677419355</v>
      </c>
      <c r="CL22">
        <f t="shared" si="37"/>
        <v>4.8387096774193551E-3</v>
      </c>
      <c r="CM22">
        <f t="shared" si="38"/>
        <v>2.3413111342351718E-5</v>
      </c>
      <c r="CN22">
        <f t="shared" si="39"/>
        <v>-5.3311071893710276</v>
      </c>
      <c r="CO22">
        <f t="shared" si="40"/>
        <v>-2.5795679948569489E-2</v>
      </c>
      <c r="CP22">
        <f t="shared" si="41"/>
        <v>-6.5284962877032128E-3</v>
      </c>
      <c r="CQ22">
        <f t="shared" si="42"/>
        <v>5.9117109920543012</v>
      </c>
      <c r="CT22" t="s">
        <v>303</v>
      </c>
      <c r="CU22" t="s">
        <v>227</v>
      </c>
      <c r="CX22">
        <v>3</v>
      </c>
      <c r="CZ22">
        <f t="shared" si="43"/>
        <v>3</v>
      </c>
      <c r="DA22">
        <f>CZ22/CZ72*100</f>
        <v>5.0268096514745307E-2</v>
      </c>
      <c r="DB22">
        <f t="shared" si="81"/>
        <v>5.0268096514745309E-4</v>
      </c>
      <c r="DC22" s="2">
        <f t="shared" si="44"/>
        <v>2.5268815272157497E-7</v>
      </c>
      <c r="DD22">
        <f t="shared" si="45"/>
        <v>-15.191109706430973</v>
      </c>
      <c r="DE22">
        <f t="shared" si="46"/>
        <v>-7.6362816888895643E-3</v>
      </c>
      <c r="DF22">
        <f t="shared" si="47"/>
        <v>-1.8097565456562791E-3</v>
      </c>
      <c r="DG22">
        <f t="shared" si="48"/>
        <v>7.7063160745129649</v>
      </c>
      <c r="DI22" t="s">
        <v>303</v>
      </c>
      <c r="DJ22" t="s">
        <v>365</v>
      </c>
      <c r="DK22">
        <v>1</v>
      </c>
      <c r="DL22">
        <f t="shared" si="49"/>
        <v>7.2463768115942032E-2</v>
      </c>
      <c r="DM22">
        <f t="shared" si="50"/>
        <v>7.246376811594203E-4</v>
      </c>
      <c r="DN22">
        <f t="shared" si="51"/>
        <v>5.2509976895610164E-7</v>
      </c>
      <c r="DO22">
        <f t="shared" si="52"/>
        <v>-7.2298387781512501</v>
      </c>
      <c r="DP22">
        <f t="shared" si="53"/>
        <v>-5.2390136073559787E-3</v>
      </c>
      <c r="DQ22">
        <f t="shared" si="54"/>
        <v>-1.4619745834559778E-3</v>
      </c>
      <c r="DR22">
        <f t="shared" si="55"/>
        <v>5.2558124663256702</v>
      </c>
      <c r="DT22" t="s">
        <v>303</v>
      </c>
      <c r="DU22" t="s">
        <v>281</v>
      </c>
      <c r="DV22">
        <v>1</v>
      </c>
      <c r="DZ22">
        <f t="shared" si="56"/>
        <v>1</v>
      </c>
      <c r="EA22">
        <f t="shared" si="57"/>
        <v>0.11750881316098707</v>
      </c>
      <c r="EB22">
        <f t="shared" si="58"/>
        <v>1.1750881316098707E-3</v>
      </c>
      <c r="EC22">
        <f t="shared" si="59"/>
        <v>1.3808321170503768E-6</v>
      </c>
      <c r="ED22">
        <f t="shared" si="60"/>
        <v>-6.7464121285733745</v>
      </c>
      <c r="EE22">
        <f t="shared" si="61"/>
        <v>-7.927628823235458E-3</v>
      </c>
      <c r="EF22">
        <f t="shared" si="79"/>
        <v>-2.121008444528184E-3</v>
      </c>
      <c r="EH22" t="s">
        <v>303</v>
      </c>
      <c r="EI22" t="s">
        <v>366</v>
      </c>
      <c r="EJ22">
        <v>1</v>
      </c>
      <c r="EK22">
        <v>1</v>
      </c>
      <c r="EL22">
        <v>1</v>
      </c>
      <c r="EM22">
        <f t="shared" si="62"/>
        <v>3</v>
      </c>
      <c r="EN22">
        <f t="shared" si="63"/>
        <v>0.40595399188092013</v>
      </c>
      <c r="EO22">
        <f t="shared" si="64"/>
        <v>4.0595399188092015E-3</v>
      </c>
      <c r="EP22">
        <f t="shared" si="65"/>
        <v>1.6479864352405418E-5</v>
      </c>
      <c r="EQ22">
        <f t="shared" si="66"/>
        <v>-5.5066856322800923</v>
      </c>
      <c r="ER22">
        <f t="shared" si="67"/>
        <v>-2.2354610144574124E-2</v>
      </c>
      <c r="ES22">
        <f t="shared" si="68"/>
        <v>-5.9073704827597405E-3</v>
      </c>
      <c r="ET22">
        <f t="shared" si="69"/>
        <v>6.5099258980626384</v>
      </c>
      <c r="EV22" t="s">
        <v>303</v>
      </c>
      <c r="EW22" t="s">
        <v>366</v>
      </c>
      <c r="EX22">
        <v>2</v>
      </c>
      <c r="EY22">
        <v>8</v>
      </c>
      <c r="EZ22">
        <v>1</v>
      </c>
      <c r="FB22">
        <f t="shared" si="70"/>
        <v>11</v>
      </c>
      <c r="FC22">
        <f t="shared" si="71"/>
        <v>1.8092105263157896</v>
      </c>
      <c r="FD22">
        <f t="shared" si="72"/>
        <v>1.8092105263157895E-2</v>
      </c>
      <c r="FE22">
        <f t="shared" si="73"/>
        <v>3.2732427285318561E-4</v>
      </c>
      <c r="FF22">
        <f t="shared" si="74"/>
        <v>-4.0122796091677966</v>
      </c>
      <c r="FG22">
        <f t="shared" si="75"/>
        <v>-7.2590585034285796E-2</v>
      </c>
      <c r="FH22">
        <f t="shared" si="76"/>
        <v>-1.9069351493430049E-2</v>
      </c>
      <c r="FI22">
        <f t="shared" si="77"/>
        <v>6.8640873002990608</v>
      </c>
    </row>
    <row r="23" spans="1:165" x14ac:dyDescent="0.25">
      <c r="A23" t="s">
        <v>303</v>
      </c>
      <c r="B23" s="1" t="s">
        <v>126</v>
      </c>
      <c r="C23">
        <v>1</v>
      </c>
      <c r="D23">
        <f>(C23/C31)*100</f>
        <v>0.125</v>
      </c>
      <c r="E23">
        <f t="shared" si="0"/>
        <v>1.25E-3</v>
      </c>
      <c r="F23">
        <f t="shared" si="1"/>
        <v>1.5625000000000001E-6</v>
      </c>
      <c r="G23">
        <f t="shared" si="2"/>
        <v>-6.6846117276679271</v>
      </c>
      <c r="H23">
        <f t="shared" si="3"/>
        <v>-8.3557646595849092E-3</v>
      </c>
      <c r="I23">
        <f t="shared" si="4"/>
        <v>-2.5352482538721424E-3</v>
      </c>
      <c r="J23">
        <f t="shared" si="5"/>
        <v>3.8895303211680581</v>
      </c>
      <c r="L23" t="s">
        <v>315</v>
      </c>
      <c r="M23" t="s">
        <v>83</v>
      </c>
      <c r="N23">
        <v>83</v>
      </c>
      <c r="O23">
        <f>N23/N46*100</f>
        <v>8.7830687830687832</v>
      </c>
      <c r="P23">
        <f t="shared" si="6"/>
        <v>8.7830687830687829E-2</v>
      </c>
      <c r="Q23">
        <f t="shared" si="7"/>
        <v>7.7142297248117353E-3</v>
      </c>
      <c r="R23">
        <f t="shared" si="8"/>
        <v>-2.4323443196971448</v>
      </c>
      <c r="S23">
        <f t="shared" si="9"/>
        <v>-0.21363447464006668</v>
      </c>
      <c r="T23">
        <f t="shared" si="10"/>
        <v>-5.7157131704482868E-2</v>
      </c>
      <c r="U23">
        <f t="shared" si="11"/>
        <v>5.9843662715141974</v>
      </c>
      <c r="W23" t="s">
        <v>315</v>
      </c>
      <c r="X23" s="11" t="s">
        <v>197</v>
      </c>
      <c r="Y23">
        <v>8</v>
      </c>
      <c r="Z23">
        <v>3</v>
      </c>
      <c r="AC23" s="9">
        <f t="shared" si="82"/>
        <v>11</v>
      </c>
      <c r="AD23">
        <f>AC23/AC53*100</f>
        <v>1.0091743119266057</v>
      </c>
      <c r="AE23">
        <f t="shared" si="78"/>
        <v>1.0045662100456621E-2</v>
      </c>
      <c r="AF23">
        <f t="shared" si="12"/>
        <v>1.0091532703655053E-4</v>
      </c>
      <c r="AG23">
        <f t="shared" si="13"/>
        <v>-4.6006143694522308</v>
      </c>
      <c r="AH23">
        <f t="shared" si="14"/>
        <v>-4.6216217410022409E-2</v>
      </c>
      <c r="AI23">
        <f t="shared" si="15"/>
        <v>-1.1754391401634872E-2</v>
      </c>
      <c r="AJ23">
        <f t="shared" si="16"/>
        <v>7.1443782399249294</v>
      </c>
      <c r="AL23" t="s">
        <v>303</v>
      </c>
      <c r="AM23" s="1" t="s">
        <v>142</v>
      </c>
      <c r="AN23">
        <v>2</v>
      </c>
      <c r="AO23">
        <f>AN23/AN51*100</f>
        <v>0.19102196752626552</v>
      </c>
      <c r="AP23">
        <v>1</v>
      </c>
      <c r="AQ23">
        <v>1</v>
      </c>
      <c r="AU23">
        <f t="shared" si="17"/>
        <v>1.9083969465648854E-3</v>
      </c>
      <c r="AV23">
        <f t="shared" si="18"/>
        <v>3.6419789056581781E-6</v>
      </c>
      <c r="AW23">
        <f t="shared" si="19"/>
        <v>-6.261491684321042</v>
      </c>
      <c r="AX23">
        <f t="shared" si="20"/>
        <v>-1.1949411611299698E-2</v>
      </c>
      <c r="AY23">
        <f t="shared" si="21"/>
        <v>-3.0867453220925021E-3</v>
      </c>
      <c r="AZ23">
        <f t="shared" si="22"/>
        <v>6.7580791631521038</v>
      </c>
      <c r="BC23" t="s">
        <v>571</v>
      </c>
      <c r="BD23" s="27" t="s">
        <v>89</v>
      </c>
      <c r="BE23" s="9">
        <v>4</v>
      </c>
      <c r="BF23">
        <f>BE23/BE59*100</f>
        <v>0.14668133480014667</v>
      </c>
      <c r="BG23">
        <f t="shared" si="23"/>
        <v>1.4668133480014668E-3</v>
      </c>
      <c r="BH23">
        <f t="shared" si="24"/>
        <v>2.151541397875272E-6</v>
      </c>
      <c r="BI23">
        <f t="shared" si="25"/>
        <v>-6.524663021725698</v>
      </c>
      <c r="BJ23">
        <f t="shared" si="26"/>
        <v>-9.5704628114788391E-3</v>
      </c>
      <c r="BK23">
        <f t="shared" si="27"/>
        <v>-2.3882373561417859E-3</v>
      </c>
      <c r="BL23">
        <f t="shared" si="28"/>
        <v>6.8259753385975239</v>
      </c>
      <c r="BO23" t="s">
        <v>303</v>
      </c>
      <c r="BP23" s="1" t="s">
        <v>171</v>
      </c>
      <c r="BQ23">
        <v>2</v>
      </c>
      <c r="BU23">
        <f t="shared" si="29"/>
        <v>2</v>
      </c>
      <c r="BV23">
        <f>BU23/BU67*100</f>
        <v>3.912363067292645E-2</v>
      </c>
      <c r="BW23">
        <f t="shared" si="30"/>
        <v>3.9123630672926448E-4</v>
      </c>
      <c r="BX23">
        <f t="shared" si="31"/>
        <v>1.5306584770315511E-7</v>
      </c>
      <c r="BY23">
        <f t="shared" si="32"/>
        <v>-7.8461988154974254</v>
      </c>
      <c r="BZ23">
        <f t="shared" si="33"/>
        <v>-3.0697178464387425E-3</v>
      </c>
      <c r="CA23">
        <f t="shared" si="34"/>
        <v>-7.4091673314044418E-4</v>
      </c>
      <c r="CB23">
        <f t="shared" si="35"/>
        <v>7.2605091805186834</v>
      </c>
      <c r="CD23" t="s">
        <v>315</v>
      </c>
      <c r="CE23" t="s">
        <v>226</v>
      </c>
      <c r="CF23">
        <v>3</v>
      </c>
      <c r="CG23">
        <v>7</v>
      </c>
      <c r="CH23">
        <v>1</v>
      </c>
      <c r="CI23">
        <v>2</v>
      </c>
      <c r="CJ23">
        <f t="shared" si="36"/>
        <v>13</v>
      </c>
      <c r="CK23">
        <f>CJ23/CJ56*100</f>
        <v>0.23297491039426527</v>
      </c>
      <c r="CL23">
        <f t="shared" si="37"/>
        <v>2.3297491039426525E-3</v>
      </c>
      <c r="CM23">
        <f t="shared" si="38"/>
        <v>5.4277308873215926E-6</v>
      </c>
      <c r="CN23">
        <f t="shared" si="39"/>
        <v>-6.0619946979138195</v>
      </c>
      <c r="CO23">
        <f t="shared" si="40"/>
        <v>-1.4122926715569832E-2</v>
      </c>
      <c r="CP23">
        <f t="shared" si="41"/>
        <v>-3.5742990616231172E-3</v>
      </c>
      <c r="CQ23">
        <f t="shared" si="42"/>
        <v>5.9117109920543012</v>
      </c>
      <c r="CT23" t="s">
        <v>303</v>
      </c>
      <c r="CU23" s="1" t="s">
        <v>9</v>
      </c>
      <c r="CV23">
        <v>8</v>
      </c>
      <c r="CZ23">
        <f t="shared" si="43"/>
        <v>8</v>
      </c>
      <c r="DA23">
        <f>CZ23/CZ72*100</f>
        <v>0.13404825737265416</v>
      </c>
      <c r="DB23">
        <f t="shared" si="81"/>
        <v>1.3404825737265416E-3</v>
      </c>
      <c r="DC23" s="2">
        <f t="shared" si="44"/>
        <v>1.7968935304645329E-6</v>
      </c>
      <c r="DD23">
        <f t="shared" si="45"/>
        <v>-13.229451200407521</v>
      </c>
      <c r="DE23">
        <f t="shared" si="46"/>
        <v>-1.773384879411196E-2</v>
      </c>
      <c r="DF23">
        <f t="shared" si="47"/>
        <v>-4.202824128596256E-3</v>
      </c>
      <c r="DG23">
        <f t="shared" si="48"/>
        <v>7.7063160745129649</v>
      </c>
      <c r="DI23" t="s">
        <v>315</v>
      </c>
      <c r="DJ23" t="s">
        <v>559</v>
      </c>
      <c r="DK23">
        <v>2</v>
      </c>
      <c r="DL23">
        <f t="shared" si="49"/>
        <v>0.14492753623188406</v>
      </c>
      <c r="DM23">
        <f t="shared" si="50"/>
        <v>1.4492753623188406E-3</v>
      </c>
      <c r="DN23">
        <f t="shared" si="51"/>
        <v>2.1003990758244065E-6</v>
      </c>
      <c r="DO23">
        <f t="shared" si="52"/>
        <v>-6.5366915975913047</v>
      </c>
      <c r="DP23">
        <f t="shared" si="53"/>
        <v>-9.4734660834656596E-3</v>
      </c>
      <c r="DQ23">
        <f t="shared" si="54"/>
        <v>-2.6436210457275048E-3</v>
      </c>
      <c r="DR23">
        <f t="shared" si="55"/>
        <v>5.2558124663256702</v>
      </c>
      <c r="DT23" t="s">
        <v>303</v>
      </c>
      <c r="DU23" t="s">
        <v>365</v>
      </c>
      <c r="DX23">
        <v>3</v>
      </c>
      <c r="DY23">
        <v>1</v>
      </c>
      <c r="DZ23">
        <f t="shared" si="56"/>
        <v>4</v>
      </c>
      <c r="EA23">
        <f t="shared" si="57"/>
        <v>0.4700352526439483</v>
      </c>
      <c r="EB23">
        <f t="shared" si="58"/>
        <v>4.7003525264394828E-3</v>
      </c>
      <c r="EC23">
        <f t="shared" si="59"/>
        <v>2.2093313872806028E-5</v>
      </c>
      <c r="ED23">
        <f t="shared" si="60"/>
        <v>-5.3601177674534837</v>
      </c>
      <c r="EE23">
        <f t="shared" si="61"/>
        <v>-2.5194443090263141E-2</v>
      </c>
      <c r="EF23">
        <f t="shared" si="79"/>
        <v>-6.7406822066404066E-3</v>
      </c>
      <c r="EH23" t="s">
        <v>325</v>
      </c>
      <c r="EI23" t="s">
        <v>254</v>
      </c>
      <c r="EJ23">
        <v>1</v>
      </c>
      <c r="EK23">
        <v>6</v>
      </c>
      <c r="EL23">
        <v>8</v>
      </c>
      <c r="EM23">
        <f t="shared" si="62"/>
        <v>15</v>
      </c>
      <c r="EN23">
        <f t="shared" si="63"/>
        <v>2.029769959404601</v>
      </c>
      <c r="EO23">
        <f t="shared" si="64"/>
        <v>2.0297699594046009E-2</v>
      </c>
      <c r="EP23">
        <f t="shared" si="65"/>
        <v>4.1199660881013553E-4</v>
      </c>
      <c r="EQ23">
        <f t="shared" si="66"/>
        <v>-3.8972477198459918</v>
      </c>
      <c r="ER23">
        <f t="shared" si="67"/>
        <v>-7.9105163461014719E-2</v>
      </c>
      <c r="ES23">
        <f t="shared" si="68"/>
        <v>-2.0904122444600354E-2</v>
      </c>
      <c r="ET23">
        <f t="shared" si="69"/>
        <v>6.5099258980626384</v>
      </c>
      <c r="EV23" t="s">
        <v>325</v>
      </c>
      <c r="EW23" t="s">
        <v>254</v>
      </c>
      <c r="EX23">
        <v>8</v>
      </c>
      <c r="EY23">
        <v>5</v>
      </c>
      <c r="FA23">
        <v>4</v>
      </c>
      <c r="FB23">
        <f t="shared" si="70"/>
        <v>17</v>
      </c>
      <c r="FC23">
        <f t="shared" si="71"/>
        <v>2.7960526315789473</v>
      </c>
      <c r="FD23">
        <f t="shared" si="72"/>
        <v>2.7960526315789474E-2</v>
      </c>
      <c r="FE23">
        <f t="shared" si="73"/>
        <v>7.817910318559557E-4</v>
      </c>
      <c r="FF23">
        <f t="shared" si="74"/>
        <v>-3.5769615379099511</v>
      </c>
      <c r="FG23">
        <f t="shared" si="75"/>
        <v>-0.10001372721129798</v>
      </c>
      <c r="FH23">
        <f t="shared" si="76"/>
        <v>-2.6273337202882004E-2</v>
      </c>
      <c r="FI23">
        <f t="shared" si="77"/>
        <v>6.8640873002990608</v>
      </c>
    </row>
    <row r="24" spans="1:165" x14ac:dyDescent="0.25">
      <c r="A24" t="s">
        <v>303</v>
      </c>
      <c r="B24" s="1" t="s">
        <v>88</v>
      </c>
      <c r="C24">
        <v>2</v>
      </c>
      <c r="D24">
        <f>(C24/C31)*100</f>
        <v>0.25</v>
      </c>
      <c r="E24">
        <f t="shared" si="0"/>
        <v>2.5000000000000001E-3</v>
      </c>
      <c r="F24">
        <f t="shared" si="1"/>
        <v>6.2500000000000003E-6</v>
      </c>
      <c r="G24">
        <f t="shared" si="2"/>
        <v>-5.9914645471079817</v>
      </c>
      <c r="H24">
        <f t="shared" si="3"/>
        <v>-1.4978661367769954E-2</v>
      </c>
      <c r="I24">
        <f t="shared" si="4"/>
        <v>-4.5447217131014033E-3</v>
      </c>
      <c r="J24">
        <f t="shared" si="5"/>
        <v>3.8895303211680581</v>
      </c>
      <c r="L24" t="s">
        <v>315</v>
      </c>
      <c r="M24" t="s">
        <v>84</v>
      </c>
      <c r="N24">
        <v>55</v>
      </c>
      <c r="O24">
        <f>N24/N46*100</f>
        <v>5.8201058201058196</v>
      </c>
      <c r="P24">
        <f t="shared" si="6"/>
        <v>5.8201058201058198E-2</v>
      </c>
      <c r="Q24">
        <f t="shared" si="7"/>
        <v>3.3873631757229635E-3</v>
      </c>
      <c r="R24">
        <f t="shared" si="8"/>
        <v>-2.8438517422612719</v>
      </c>
      <c r="S24">
        <f t="shared" si="9"/>
        <v>-0.16551518076652905</v>
      </c>
      <c r="T24">
        <f t="shared" si="10"/>
        <v>-4.4282988511581349E-2</v>
      </c>
      <c r="U24">
        <f t="shared" si="11"/>
        <v>5.9843662715141974</v>
      </c>
      <c r="W24" t="s">
        <v>315</v>
      </c>
      <c r="X24" s="10" t="s">
        <v>198</v>
      </c>
      <c r="Y24">
        <v>1</v>
      </c>
      <c r="AC24" s="9">
        <f t="shared" si="82"/>
        <v>1</v>
      </c>
      <c r="AD24">
        <f>AC24/AC53*100</f>
        <v>9.1743119266055051E-2</v>
      </c>
      <c r="AE24">
        <f t="shared" si="78"/>
        <v>9.1324200913242006E-4</v>
      </c>
      <c r="AF24">
        <f t="shared" si="12"/>
        <v>8.3401096724421924E-7</v>
      </c>
      <c r="AG24">
        <f t="shared" si="13"/>
        <v>-6.9985096422506015</v>
      </c>
      <c r="AH24">
        <f t="shared" si="14"/>
        <v>-6.3913330066215539E-3</v>
      </c>
      <c r="AI24">
        <f t="shared" si="15"/>
        <v>-1.6255382622837875E-3</v>
      </c>
      <c r="AJ24">
        <f t="shared" si="16"/>
        <v>7.1443782399249294</v>
      </c>
      <c r="AL24" t="s">
        <v>315</v>
      </c>
      <c r="AM24" s="1" t="s">
        <v>41</v>
      </c>
      <c r="AN24">
        <v>23</v>
      </c>
      <c r="AO24">
        <f>AN24/AN51*100</f>
        <v>2.1967526265520534</v>
      </c>
      <c r="AP24">
        <v>1</v>
      </c>
      <c r="AQ24">
        <v>1</v>
      </c>
      <c r="AR24">
        <v>4</v>
      </c>
      <c r="AS24">
        <v>17</v>
      </c>
      <c r="AU24">
        <f t="shared" si="17"/>
        <v>2.1946564885496182E-2</v>
      </c>
      <c r="AV24">
        <f t="shared" si="18"/>
        <v>4.8165171027329405E-4</v>
      </c>
      <c r="AW24">
        <f t="shared" si="19"/>
        <v>-3.8191446489518377</v>
      </c>
      <c r="AX24">
        <f t="shared" si="20"/>
        <v>-8.3817105845317041E-2</v>
      </c>
      <c r="AY24">
        <f t="shared" si="21"/>
        <v>-2.1651447602215799E-2</v>
      </c>
      <c r="AZ24">
        <f t="shared" si="22"/>
        <v>6.7580791631521038</v>
      </c>
      <c r="BC24" t="s">
        <v>303</v>
      </c>
      <c r="BD24" s="27" t="s">
        <v>647</v>
      </c>
      <c r="BE24" s="9">
        <v>13</v>
      </c>
      <c r="BF24">
        <f>BE24/BE59*100</f>
        <v>0.47671433810047675</v>
      </c>
      <c r="BG24">
        <f t="shared" si="23"/>
        <v>4.7671433810047674E-3</v>
      </c>
      <c r="BH24">
        <f t="shared" si="24"/>
        <v>2.2725656015057564E-5</v>
      </c>
      <c r="BI24">
        <f t="shared" si="25"/>
        <v>-5.3460080253840516</v>
      </c>
      <c r="BJ24">
        <f t="shared" si="26"/>
        <v>-2.5485186773007949E-2</v>
      </c>
      <c r="BK24">
        <f t="shared" si="27"/>
        <v>-6.3596375931315322E-3</v>
      </c>
      <c r="BL24">
        <f t="shared" si="28"/>
        <v>6.8259753385975239</v>
      </c>
      <c r="BO24" t="s">
        <v>303</v>
      </c>
      <c r="BP24" t="s">
        <v>15</v>
      </c>
      <c r="BQ24">
        <v>3</v>
      </c>
      <c r="BU24">
        <f t="shared" si="29"/>
        <v>3</v>
      </c>
      <c r="BV24">
        <f>BU24/BU67*100</f>
        <v>5.8685446009389672E-2</v>
      </c>
      <c r="BW24">
        <f t="shared" si="30"/>
        <v>5.8685446009389673E-4</v>
      </c>
      <c r="BX24">
        <f t="shared" si="31"/>
        <v>3.4439815733209904E-7</v>
      </c>
      <c r="BY24">
        <f t="shared" si="32"/>
        <v>-7.4407337073892608</v>
      </c>
      <c r="BZ24">
        <f t="shared" si="33"/>
        <v>-4.3666277625523829E-3</v>
      </c>
      <c r="CA24">
        <f t="shared" si="34"/>
        <v>-1.0539429805980511E-3</v>
      </c>
      <c r="CB24">
        <f t="shared" si="35"/>
        <v>7.2605091805186834</v>
      </c>
      <c r="CD24" t="s">
        <v>303</v>
      </c>
      <c r="CE24" t="s">
        <v>227</v>
      </c>
      <c r="CF24">
        <v>1</v>
      </c>
      <c r="CG24">
        <v>8</v>
      </c>
      <c r="CH24">
        <v>3</v>
      </c>
      <c r="CJ24">
        <f t="shared" si="36"/>
        <v>12</v>
      </c>
      <c r="CK24">
        <f>CJ24/CJ56*100</f>
        <v>0.21505376344086022</v>
      </c>
      <c r="CL24">
        <f t="shared" si="37"/>
        <v>2.1505376344086021E-3</v>
      </c>
      <c r="CM24">
        <f t="shared" si="38"/>
        <v>4.6248121170077469E-6</v>
      </c>
      <c r="CN24">
        <f t="shared" si="39"/>
        <v>-6.1420374055873559</v>
      </c>
      <c r="CO24">
        <f t="shared" si="40"/>
        <v>-1.320868259266098E-2</v>
      </c>
      <c r="CP24">
        <f t="shared" si="41"/>
        <v>-3.3429177072891751E-3</v>
      </c>
      <c r="CQ24">
        <f t="shared" si="42"/>
        <v>5.9117109920543012</v>
      </c>
      <c r="CT24" t="s">
        <v>303</v>
      </c>
      <c r="CU24" s="1" t="s">
        <v>255</v>
      </c>
      <c r="CV24">
        <v>1</v>
      </c>
      <c r="CZ24">
        <f t="shared" si="43"/>
        <v>1</v>
      </c>
      <c r="DA24">
        <f>CZ24/CZ72*100</f>
        <v>1.675603217158177E-2</v>
      </c>
      <c r="DB24">
        <f t="shared" si="81"/>
        <v>1.675603217158177E-4</v>
      </c>
      <c r="DC24" s="2">
        <f t="shared" si="44"/>
        <v>2.8076461413508327E-8</v>
      </c>
      <c r="DD24">
        <f t="shared" si="45"/>
        <v>-17.388334283767193</v>
      </c>
      <c r="DE24">
        <f t="shared" si="46"/>
        <v>-2.9135948866902133E-3</v>
      </c>
      <c r="DF24">
        <f t="shared" si="47"/>
        <v>-6.9050588131788001E-4</v>
      </c>
      <c r="DG24">
        <f t="shared" si="48"/>
        <v>7.7063160745129649</v>
      </c>
      <c r="DI24" t="s">
        <v>303</v>
      </c>
      <c r="DJ24" t="s">
        <v>59</v>
      </c>
      <c r="DK24">
        <v>1</v>
      </c>
      <c r="DL24">
        <f t="shared" si="49"/>
        <v>7.2463768115942032E-2</v>
      </c>
      <c r="DM24">
        <f t="shared" si="50"/>
        <v>7.246376811594203E-4</v>
      </c>
      <c r="DN24">
        <f t="shared" si="51"/>
        <v>5.2509976895610164E-7</v>
      </c>
      <c r="DO24">
        <f t="shared" si="52"/>
        <v>-7.2298387781512501</v>
      </c>
      <c r="DP24">
        <f t="shared" si="53"/>
        <v>-5.2390136073559787E-3</v>
      </c>
      <c r="DQ24">
        <f t="shared" si="54"/>
        <v>-1.4619745834559778E-3</v>
      </c>
      <c r="DR24">
        <f t="shared" si="55"/>
        <v>5.2558124663256702</v>
      </c>
      <c r="DT24" t="s">
        <v>303</v>
      </c>
      <c r="DU24" t="s">
        <v>55</v>
      </c>
      <c r="DV24">
        <v>3</v>
      </c>
      <c r="DW24">
        <v>6</v>
      </c>
      <c r="DX24">
        <v>8</v>
      </c>
      <c r="DY24">
        <v>4</v>
      </c>
      <c r="DZ24">
        <f t="shared" si="56"/>
        <v>21</v>
      </c>
      <c r="EA24">
        <f t="shared" si="57"/>
        <v>2.4676850763807283</v>
      </c>
      <c r="EB24">
        <f t="shared" si="58"/>
        <v>2.4676850763807285E-2</v>
      </c>
      <c r="EC24">
        <f t="shared" si="59"/>
        <v>6.0894696361921618E-4</v>
      </c>
      <c r="ED24">
        <f t="shared" si="60"/>
        <v>-3.701889690849951</v>
      </c>
      <c r="EE24">
        <f t="shared" si="61"/>
        <v>-9.1350979445180933E-2</v>
      </c>
      <c r="EF24">
        <f t="shared" si="79"/>
        <v>-2.4440624446399432E-2</v>
      </c>
      <c r="EH24" t="s">
        <v>576</v>
      </c>
      <c r="EI24" t="s">
        <v>257</v>
      </c>
      <c r="EK24">
        <v>1</v>
      </c>
      <c r="EM24">
        <f t="shared" si="62"/>
        <v>1</v>
      </c>
      <c r="EN24">
        <f t="shared" si="63"/>
        <v>0.13531799729364005</v>
      </c>
      <c r="EO24">
        <f t="shared" si="64"/>
        <v>1.3531799729364006E-3</v>
      </c>
      <c r="EP24">
        <f t="shared" si="65"/>
        <v>1.831096039156158E-6</v>
      </c>
      <c r="EQ24">
        <f t="shared" si="66"/>
        <v>-6.6052979209482015</v>
      </c>
      <c r="ER24">
        <f t="shared" si="67"/>
        <v>-8.9381568619055513E-3</v>
      </c>
      <c r="ES24">
        <f t="shared" si="68"/>
        <v>-2.3619738244065537E-3</v>
      </c>
      <c r="ET24">
        <f t="shared" si="69"/>
        <v>6.5099258980626384</v>
      </c>
      <c r="EV24" t="s">
        <v>577</v>
      </c>
      <c r="EW24" t="s">
        <v>257</v>
      </c>
      <c r="EX24">
        <v>1</v>
      </c>
      <c r="EY24">
        <v>1</v>
      </c>
      <c r="FA24">
        <v>2</v>
      </c>
      <c r="FB24">
        <f t="shared" si="70"/>
        <v>4</v>
      </c>
      <c r="FC24">
        <f t="shared" si="71"/>
        <v>0.6578947368421052</v>
      </c>
      <c r="FD24">
        <f t="shared" si="72"/>
        <v>6.5789473684210523E-3</v>
      </c>
      <c r="FE24">
        <f t="shared" si="73"/>
        <v>4.3282548476454287E-5</v>
      </c>
      <c r="FF24">
        <f t="shared" si="74"/>
        <v>-5.0238805208462765</v>
      </c>
      <c r="FG24">
        <f t="shared" si="75"/>
        <v>-3.3051845531883395E-2</v>
      </c>
      <c r="FH24">
        <f t="shared" si="76"/>
        <v>-8.6826309452713319E-3</v>
      </c>
      <c r="FI24">
        <f t="shared" si="77"/>
        <v>6.8640873002990608</v>
      </c>
    </row>
    <row r="25" spans="1:165" x14ac:dyDescent="0.25">
      <c r="A25" t="s">
        <v>303</v>
      </c>
      <c r="B25" s="1" t="s">
        <v>127</v>
      </c>
      <c r="C25">
        <v>4</v>
      </c>
      <c r="D25">
        <f>(C25/C31)*100</f>
        <v>0.5</v>
      </c>
      <c r="E25">
        <f t="shared" si="0"/>
        <v>5.0000000000000001E-3</v>
      </c>
      <c r="F25">
        <f t="shared" si="1"/>
        <v>2.5000000000000001E-5</v>
      </c>
      <c r="G25">
        <f t="shared" si="2"/>
        <v>-5.2983173665480363</v>
      </c>
      <c r="H25">
        <f t="shared" si="3"/>
        <v>-2.6491586832740183E-2</v>
      </c>
      <c r="I25">
        <f t="shared" si="4"/>
        <v>-8.0378938369170434E-3</v>
      </c>
      <c r="J25">
        <f t="shared" si="5"/>
        <v>3.8895303211680581</v>
      </c>
      <c r="L25" t="s">
        <v>305</v>
      </c>
      <c r="M25" s="1" t="s">
        <v>54</v>
      </c>
      <c r="N25">
        <v>1</v>
      </c>
      <c r="O25">
        <f>N25/N46*100</f>
        <v>0.10582010582010583</v>
      </c>
      <c r="P25">
        <f t="shared" si="6"/>
        <v>1.0582010582010583E-3</v>
      </c>
      <c r="Q25">
        <f t="shared" si="7"/>
        <v>1.1197894795778394E-6</v>
      </c>
      <c r="R25">
        <f t="shared" si="8"/>
        <v>-6.8511849274937431</v>
      </c>
      <c r="S25">
        <f t="shared" si="9"/>
        <v>-7.2499311402050197E-3</v>
      </c>
      <c r="T25">
        <f t="shared" si="10"/>
        <v>-1.9396928783488247E-3</v>
      </c>
      <c r="U25">
        <f t="shared" si="11"/>
        <v>5.9843662715141974</v>
      </c>
      <c r="W25" t="s">
        <v>303</v>
      </c>
      <c r="X25" s="10" t="s">
        <v>7</v>
      </c>
      <c r="Y25">
        <v>50</v>
      </c>
      <c r="Z25">
        <v>64</v>
      </c>
      <c r="AA25">
        <v>27</v>
      </c>
      <c r="AB25">
        <v>33</v>
      </c>
      <c r="AC25" s="9">
        <f>SUM(Y25:AB25)</f>
        <v>174</v>
      </c>
      <c r="AD25" s="15">
        <f>AC25/AC53*100</f>
        <v>15.963302752293579</v>
      </c>
      <c r="AE25">
        <f t="shared" si="78"/>
        <v>0.15890410958904111</v>
      </c>
      <c r="AF25">
        <f t="shared" si="12"/>
        <v>2.5250516044285985E-2</v>
      </c>
      <c r="AG25">
        <f t="shared" si="13"/>
        <v>-1.8394543430360721</v>
      </c>
      <c r="AH25">
        <f t="shared" si="14"/>
        <v>-0.29229685450984161</v>
      </c>
      <c r="AI25">
        <f t="shared" si="15"/>
        <v>-7.4341255643961962E-2</v>
      </c>
      <c r="AJ25">
        <f t="shared" si="16"/>
        <v>7.1443782399249294</v>
      </c>
      <c r="AL25" t="s">
        <v>305</v>
      </c>
      <c r="AM25" s="1" t="s">
        <v>33</v>
      </c>
      <c r="AN25">
        <v>3</v>
      </c>
      <c r="AO25">
        <f>AN25/AN51*100</f>
        <v>0.28653295128939826</v>
      </c>
      <c r="AP25">
        <v>1</v>
      </c>
      <c r="AQ25">
        <v>2</v>
      </c>
      <c r="AU25">
        <f t="shared" si="17"/>
        <v>2.8625954198473282E-3</v>
      </c>
      <c r="AV25">
        <f t="shared" si="18"/>
        <v>8.1944525377309007E-6</v>
      </c>
      <c r="AW25">
        <f t="shared" si="19"/>
        <v>-5.8560265762128774</v>
      </c>
      <c r="AX25">
        <f t="shared" si="20"/>
        <v>-1.6763434855571215E-2</v>
      </c>
      <c r="AY25">
        <f t="shared" si="21"/>
        <v>-4.3302930559112919E-3</v>
      </c>
      <c r="AZ25">
        <f t="shared" si="22"/>
        <v>6.7580791631521038</v>
      </c>
      <c r="BC25" t="s">
        <v>305</v>
      </c>
      <c r="BD25" s="27" t="s">
        <v>648</v>
      </c>
      <c r="BE25" s="9">
        <v>3</v>
      </c>
      <c r="BF25">
        <f>BE25/BE59*100</f>
        <v>0.11001100110011</v>
      </c>
      <c r="BG25">
        <f t="shared" si="23"/>
        <v>1.1001100110011001E-3</v>
      </c>
      <c r="BH25">
        <f t="shared" si="24"/>
        <v>1.2102420363048405E-6</v>
      </c>
      <c r="BI25">
        <f t="shared" si="25"/>
        <v>-6.8123450941774788</v>
      </c>
      <c r="BJ25">
        <f t="shared" si="26"/>
        <v>-7.4943290364988761E-3</v>
      </c>
      <c r="BK25">
        <f t="shared" si="27"/>
        <v>-1.8701537132266477E-3</v>
      </c>
      <c r="BL25">
        <f t="shared" si="28"/>
        <v>6.8259753385975239</v>
      </c>
      <c r="BO25" t="s">
        <v>315</v>
      </c>
      <c r="BP25" s="1" t="s">
        <v>20</v>
      </c>
      <c r="BQ25">
        <v>2</v>
      </c>
      <c r="BR25">
        <v>4</v>
      </c>
      <c r="BS25">
        <v>2</v>
      </c>
      <c r="BT25">
        <v>13</v>
      </c>
      <c r="BU25">
        <f t="shared" si="29"/>
        <v>21</v>
      </c>
      <c r="BV25">
        <f>BU25/BU67*100</f>
        <v>0.41079812206572774</v>
      </c>
      <c r="BW25">
        <f t="shared" si="30"/>
        <v>4.1079812206572773E-3</v>
      </c>
      <c r="BX25">
        <f t="shared" si="31"/>
        <v>1.6875509709272853E-5</v>
      </c>
      <c r="BY25">
        <f t="shared" si="32"/>
        <v>-5.4948235583339473</v>
      </c>
      <c r="BZ25">
        <f t="shared" si="33"/>
        <v>-2.2572631988461052E-2</v>
      </c>
      <c r="CA25">
        <f t="shared" si="34"/>
        <v>-5.4482012966352916E-3</v>
      </c>
      <c r="CB25">
        <f t="shared" si="35"/>
        <v>7.2605091805186834</v>
      </c>
      <c r="CD25" t="s">
        <v>303</v>
      </c>
      <c r="CE25" s="1" t="s">
        <v>200</v>
      </c>
      <c r="CI25">
        <v>1</v>
      </c>
      <c r="CJ25">
        <f t="shared" si="36"/>
        <v>1</v>
      </c>
      <c r="CK25">
        <f>CJ25/CJ56*100</f>
        <v>1.7921146953405017E-2</v>
      </c>
      <c r="CL25">
        <f t="shared" si="37"/>
        <v>1.7921146953405018E-4</v>
      </c>
      <c r="CM25">
        <f t="shared" si="38"/>
        <v>3.2116750812553798E-8</v>
      </c>
      <c r="CN25">
        <f t="shared" si="39"/>
        <v>-8.6269440553753558</v>
      </c>
      <c r="CO25">
        <f t="shared" si="40"/>
        <v>-1.5460473217518559E-3</v>
      </c>
      <c r="CP25">
        <f t="shared" si="41"/>
        <v>-3.9128118432211432E-4</v>
      </c>
      <c r="CQ25">
        <f t="shared" si="42"/>
        <v>5.9117109920543012</v>
      </c>
      <c r="CT25" t="s">
        <v>568</v>
      </c>
      <c r="CU25" s="1" t="s">
        <v>222</v>
      </c>
      <c r="CV25">
        <v>5</v>
      </c>
      <c r="CZ25">
        <f t="shared" si="43"/>
        <v>5</v>
      </c>
      <c r="DA25">
        <f>CZ25/CZ72*100</f>
        <v>8.3780160857908847E-2</v>
      </c>
      <c r="DB25">
        <f t="shared" si="81"/>
        <v>8.3780160857908849E-4</v>
      </c>
      <c r="DC25" s="2">
        <f t="shared" si="44"/>
        <v>7.0191153533770814E-7</v>
      </c>
      <c r="DD25">
        <f t="shared" si="45"/>
        <v>-14.169458458898992</v>
      </c>
      <c r="DE25">
        <f t="shared" si="46"/>
        <v>-1.1871195089560149E-2</v>
      </c>
      <c r="DF25">
        <f t="shared" si="47"/>
        <v>-2.8134076103232728E-3</v>
      </c>
      <c r="DG25">
        <f t="shared" si="48"/>
        <v>7.7063160745129649</v>
      </c>
      <c r="DI25" t="s">
        <v>303</v>
      </c>
      <c r="DJ25" t="s">
        <v>49</v>
      </c>
      <c r="DK25">
        <v>2</v>
      </c>
      <c r="DL25">
        <f t="shared" si="49"/>
        <v>0.14492753623188406</v>
      </c>
      <c r="DM25">
        <f t="shared" si="50"/>
        <v>1.4492753623188406E-3</v>
      </c>
      <c r="DN25">
        <f t="shared" si="51"/>
        <v>2.1003990758244065E-6</v>
      </c>
      <c r="DO25">
        <f t="shared" si="52"/>
        <v>-6.5366915975913047</v>
      </c>
      <c r="DP25">
        <f t="shared" si="53"/>
        <v>-9.4734660834656596E-3</v>
      </c>
      <c r="DQ25">
        <f t="shared" si="54"/>
        <v>-2.6436210457275048E-3</v>
      </c>
      <c r="DR25">
        <f t="shared" si="55"/>
        <v>5.2558124663256702</v>
      </c>
      <c r="DT25" t="s">
        <v>303</v>
      </c>
      <c r="DU25" t="s">
        <v>49</v>
      </c>
      <c r="DV25">
        <v>1</v>
      </c>
      <c r="DW25">
        <v>1</v>
      </c>
      <c r="DX25">
        <v>7</v>
      </c>
      <c r="DY25">
        <v>1</v>
      </c>
      <c r="DZ25">
        <f t="shared" si="56"/>
        <v>10</v>
      </c>
      <c r="EA25">
        <f t="shared" si="57"/>
        <v>1.1750881316098707</v>
      </c>
      <c r="EB25">
        <f t="shared" si="58"/>
        <v>1.1750881316098707E-2</v>
      </c>
      <c r="EC25">
        <f t="shared" si="59"/>
        <v>1.380832117050377E-4</v>
      </c>
      <c r="ED25">
        <f t="shared" si="60"/>
        <v>-4.4438270355793286</v>
      </c>
      <c r="EE25">
        <f t="shared" si="61"/>
        <v>-5.221888408436344E-2</v>
      </c>
      <c r="EF25">
        <f t="shared" si="79"/>
        <v>-1.3970973739606887E-2</v>
      </c>
      <c r="EH25" t="s">
        <v>571</v>
      </c>
      <c r="EI25" t="s">
        <v>376</v>
      </c>
      <c r="EK25">
        <v>1</v>
      </c>
      <c r="EL25">
        <v>12</v>
      </c>
      <c r="EM25">
        <f t="shared" si="62"/>
        <v>13</v>
      </c>
      <c r="EN25">
        <f t="shared" si="63"/>
        <v>1.7591339648173208</v>
      </c>
      <c r="EO25">
        <f t="shared" si="64"/>
        <v>1.7591339648173207E-2</v>
      </c>
      <c r="EP25">
        <f t="shared" si="65"/>
        <v>3.0945523061739067E-4</v>
      </c>
      <c r="EQ25">
        <f t="shared" si="66"/>
        <v>-4.0403485634866652</v>
      </c>
      <c r="ER25">
        <f t="shared" si="67"/>
        <v>-7.1075143877302641E-2</v>
      </c>
      <c r="ES25">
        <f t="shared" si="68"/>
        <v>-1.878213058887045E-2</v>
      </c>
      <c r="ET25">
        <f t="shared" si="69"/>
        <v>6.5099258980626384</v>
      </c>
      <c r="EV25" t="s">
        <v>303</v>
      </c>
      <c r="EW25" t="s">
        <v>367</v>
      </c>
      <c r="EX25">
        <v>1</v>
      </c>
      <c r="EY25">
        <v>5</v>
      </c>
      <c r="FB25">
        <f t="shared" si="70"/>
        <v>6</v>
      </c>
      <c r="FC25">
        <f t="shared" si="71"/>
        <v>0.98684210526315785</v>
      </c>
      <c r="FD25">
        <f t="shared" si="72"/>
        <v>9.8684210526315784E-3</v>
      </c>
      <c r="FE25">
        <f t="shared" si="73"/>
        <v>9.7385734072022152E-5</v>
      </c>
      <c r="FF25">
        <f t="shared" si="74"/>
        <v>-4.6184154127381118</v>
      </c>
      <c r="FG25">
        <f t="shared" si="75"/>
        <v>-4.5576467888862944E-2</v>
      </c>
      <c r="FH25">
        <f t="shared" si="76"/>
        <v>-1.1972815559913972E-2</v>
      </c>
      <c r="FI25">
        <f t="shared" si="77"/>
        <v>6.8640873002990608</v>
      </c>
    </row>
    <row r="26" spans="1:165" x14ac:dyDescent="0.25">
      <c r="A26" t="s">
        <v>303</v>
      </c>
      <c r="B26" t="s">
        <v>107</v>
      </c>
      <c r="C26">
        <v>6</v>
      </c>
      <c r="D26">
        <f>(C26/C31)*100</f>
        <v>0.75</v>
      </c>
      <c r="E26">
        <f t="shared" si="0"/>
        <v>7.4999999999999997E-3</v>
      </c>
      <c r="F26">
        <f t="shared" si="1"/>
        <v>5.6249999999999998E-5</v>
      </c>
      <c r="G26">
        <f t="shared" si="2"/>
        <v>-4.8928522584398726</v>
      </c>
      <c r="H26">
        <f t="shared" si="3"/>
        <v>-3.6696391938299044E-2</v>
      </c>
      <c r="I26">
        <f t="shared" si="4"/>
        <v>-1.113416513930421E-2</v>
      </c>
      <c r="J26">
        <f t="shared" si="5"/>
        <v>3.8895303211680581</v>
      </c>
      <c r="L26" t="s">
        <v>303</v>
      </c>
      <c r="M26" s="1" t="s">
        <v>55</v>
      </c>
      <c r="N26">
        <v>3</v>
      </c>
      <c r="O26">
        <f>N26/N46*100</f>
        <v>0.31746031746031744</v>
      </c>
      <c r="P26">
        <f t="shared" si="6"/>
        <v>3.1746031746031746E-3</v>
      </c>
      <c r="Q26">
        <f t="shared" si="7"/>
        <v>1.0078105316200555E-5</v>
      </c>
      <c r="R26">
        <f t="shared" si="8"/>
        <v>-5.7525726388256331</v>
      </c>
      <c r="S26">
        <f t="shared" si="9"/>
        <v>-1.8262135361351215E-2</v>
      </c>
      <c r="T26">
        <f t="shared" si="10"/>
        <v>-4.8859683242251416E-3</v>
      </c>
      <c r="U26">
        <f t="shared" si="11"/>
        <v>5.9843662715141974</v>
      </c>
      <c r="W26" t="s">
        <v>303</v>
      </c>
      <c r="X26" s="1" t="s">
        <v>199</v>
      </c>
      <c r="Y26">
        <v>2</v>
      </c>
      <c r="AC26" s="9">
        <f t="shared" ref="AC26:AC34" si="83">SUM(Y26:AA26)</f>
        <v>2</v>
      </c>
      <c r="AD26">
        <f>AC26/AC53*100</f>
        <v>0.1834862385321101</v>
      </c>
      <c r="AE26">
        <f t="shared" si="78"/>
        <v>1.8264840182648401E-3</v>
      </c>
      <c r="AF26">
        <f t="shared" si="12"/>
        <v>3.336043868976877E-6</v>
      </c>
      <c r="AG26">
        <f t="shared" si="13"/>
        <v>-6.3053624616906561</v>
      </c>
      <c r="AH26">
        <f t="shared" si="14"/>
        <v>-1.1516643765645034E-2</v>
      </c>
      <c r="AI26">
        <f t="shared" si="15"/>
        <v>-2.929083037099297E-3</v>
      </c>
      <c r="AJ26">
        <f t="shared" si="16"/>
        <v>7.1443782399249294</v>
      </c>
      <c r="AL26" t="s">
        <v>303</v>
      </c>
      <c r="AM26" s="1" t="s">
        <v>143</v>
      </c>
      <c r="AN26">
        <v>4</v>
      </c>
      <c r="AO26">
        <f>AN26/AN51*100</f>
        <v>0.38204393505253104</v>
      </c>
      <c r="AP26">
        <v>4</v>
      </c>
      <c r="AU26">
        <f t="shared" si="17"/>
        <v>3.8167938931297708E-3</v>
      </c>
      <c r="AV26">
        <f t="shared" si="18"/>
        <v>1.4567915622632712E-5</v>
      </c>
      <c r="AW26">
        <f t="shared" si="19"/>
        <v>-5.5683445037610966</v>
      </c>
      <c r="AX26">
        <f t="shared" si="20"/>
        <v>-2.1253223296798077E-2</v>
      </c>
      <c r="AY26">
        <f t="shared" si="21"/>
        <v>-5.4900851794863724E-3</v>
      </c>
      <c r="AZ26">
        <f t="shared" si="22"/>
        <v>6.7580791631521038</v>
      </c>
      <c r="BC26" t="s">
        <v>303</v>
      </c>
      <c r="BD26" s="26" t="s">
        <v>90</v>
      </c>
      <c r="BE26" s="9">
        <v>1</v>
      </c>
      <c r="BF26">
        <f>BE26/BE59*100</f>
        <v>3.6670333700036667E-2</v>
      </c>
      <c r="BG26">
        <f t="shared" si="23"/>
        <v>3.667033370003667E-4</v>
      </c>
      <c r="BH26">
        <f t="shared" si="24"/>
        <v>1.344713373672045E-7</v>
      </c>
      <c r="BI26">
        <f t="shared" si="25"/>
        <v>-7.9109573828455888</v>
      </c>
      <c r="BJ26">
        <f t="shared" si="26"/>
        <v>-2.9009744711571651E-3</v>
      </c>
      <c r="BK26">
        <f t="shared" si="27"/>
        <v>-7.2391646440770696E-4</v>
      </c>
      <c r="BL26">
        <f t="shared" si="28"/>
        <v>6.8259753385975239</v>
      </c>
      <c r="BO26" t="s">
        <v>315</v>
      </c>
      <c r="BP26" s="1" t="s">
        <v>172</v>
      </c>
      <c r="BQ26">
        <v>1</v>
      </c>
      <c r="BR26">
        <v>1</v>
      </c>
      <c r="BU26">
        <f t="shared" si="29"/>
        <v>2</v>
      </c>
      <c r="BV26">
        <f>BU26/BU67*100</f>
        <v>3.912363067292645E-2</v>
      </c>
      <c r="BW26">
        <f t="shared" si="30"/>
        <v>3.9123630672926448E-4</v>
      </c>
      <c r="BX26">
        <f t="shared" si="31"/>
        <v>1.5306584770315511E-7</v>
      </c>
      <c r="BY26">
        <f t="shared" si="32"/>
        <v>-7.8461988154974254</v>
      </c>
      <c r="BZ26">
        <f t="shared" si="33"/>
        <v>-3.0697178464387425E-3</v>
      </c>
      <c r="CA26">
        <f t="shared" si="34"/>
        <v>-7.4091673314044418E-4</v>
      </c>
      <c r="CB26">
        <f t="shared" si="35"/>
        <v>7.2605091805186834</v>
      </c>
      <c r="CD26" t="s">
        <v>303</v>
      </c>
      <c r="CE26" s="1" t="s">
        <v>255</v>
      </c>
      <c r="CF26">
        <v>3</v>
      </c>
      <c r="CJ26">
        <f t="shared" si="36"/>
        <v>3</v>
      </c>
      <c r="CK26">
        <f>CJ26/CJ56*100</f>
        <v>5.3763440860215055E-2</v>
      </c>
      <c r="CL26">
        <f t="shared" si="37"/>
        <v>5.3763440860215054E-4</v>
      </c>
      <c r="CM26">
        <f t="shared" si="38"/>
        <v>2.8905075731298418E-7</v>
      </c>
      <c r="CN26">
        <f t="shared" si="39"/>
        <v>-7.5283317667072467</v>
      </c>
      <c r="CO26">
        <f t="shared" si="40"/>
        <v>-4.0474901971544333E-3</v>
      </c>
      <c r="CP26">
        <f t="shared" si="41"/>
        <v>-1.0243585274480513E-3</v>
      </c>
      <c r="CQ26">
        <f t="shared" si="42"/>
        <v>5.9117109920543012</v>
      </c>
      <c r="CT26" t="s">
        <v>303</v>
      </c>
      <c r="CU26" t="s">
        <v>242</v>
      </c>
      <c r="CV26">
        <v>1</v>
      </c>
      <c r="CW26">
        <v>3</v>
      </c>
      <c r="CX26">
        <v>1</v>
      </c>
      <c r="CY26">
        <v>18</v>
      </c>
      <c r="CZ26">
        <f t="shared" si="43"/>
        <v>23</v>
      </c>
      <c r="DA26">
        <f>CZ26/CZ72*100</f>
        <v>0.38538873994638068</v>
      </c>
      <c r="DB26">
        <f t="shared" si="81"/>
        <v>3.8538873994638069E-3</v>
      </c>
      <c r="DC26" s="2">
        <f t="shared" si="44"/>
        <v>1.4852448087745905E-5</v>
      </c>
      <c r="DD26">
        <f t="shared" si="45"/>
        <v>-11.117345851908894</v>
      </c>
      <c r="DE26">
        <f t="shared" si="46"/>
        <v>-4.2844999094152909E-2</v>
      </c>
      <c r="DF26">
        <f t="shared" si="47"/>
        <v>-1.0154027931171823E-2</v>
      </c>
      <c r="DG26">
        <f t="shared" si="48"/>
        <v>7.7063160745129649</v>
      </c>
      <c r="DI26" t="s">
        <v>568</v>
      </c>
      <c r="DJ26" t="s">
        <v>261</v>
      </c>
      <c r="DK26">
        <v>4</v>
      </c>
      <c r="DL26">
        <f t="shared" si="49"/>
        <v>0.28985507246376813</v>
      </c>
      <c r="DM26">
        <f t="shared" si="50"/>
        <v>2.8985507246376812E-3</v>
      </c>
      <c r="DN26">
        <f t="shared" si="51"/>
        <v>8.4015963032976262E-6</v>
      </c>
      <c r="DO26">
        <f t="shared" si="52"/>
        <v>-5.8435444170313602</v>
      </c>
      <c r="DP26">
        <f t="shared" si="53"/>
        <v>-1.6937809904438727E-2</v>
      </c>
      <c r="DQ26">
        <f t="shared" si="54"/>
        <v>-4.7265858490861097E-3</v>
      </c>
      <c r="DR26">
        <f t="shared" si="55"/>
        <v>5.2558124663256702</v>
      </c>
      <c r="DT26" t="s">
        <v>315</v>
      </c>
      <c r="DU26" t="s">
        <v>249</v>
      </c>
      <c r="DV26">
        <v>1</v>
      </c>
      <c r="DW26">
        <v>2</v>
      </c>
      <c r="DX26">
        <v>14</v>
      </c>
      <c r="DZ26">
        <f t="shared" si="56"/>
        <v>17</v>
      </c>
      <c r="EA26">
        <f t="shared" si="57"/>
        <v>1.9976498237367801</v>
      </c>
      <c r="EB26">
        <f t="shared" si="58"/>
        <v>1.9976498237367801E-2</v>
      </c>
      <c r="EC26">
        <f t="shared" si="59"/>
        <v>3.9906048182755888E-4</v>
      </c>
      <c r="ED26">
        <f t="shared" si="60"/>
        <v>-3.9131987845171583</v>
      </c>
      <c r="EE26">
        <f t="shared" si="61"/>
        <v>-7.817200862137684E-2</v>
      </c>
      <c r="EF26">
        <f t="shared" si="79"/>
        <v>-2.0914638425768507E-2</v>
      </c>
      <c r="EH26" t="s">
        <v>303</v>
      </c>
      <c r="EI26" t="s">
        <v>332</v>
      </c>
      <c r="EJ26">
        <v>1</v>
      </c>
      <c r="EK26">
        <v>1</v>
      </c>
      <c r="EM26">
        <f t="shared" si="62"/>
        <v>2</v>
      </c>
      <c r="EN26">
        <f t="shared" si="63"/>
        <v>0.2706359945872801</v>
      </c>
      <c r="EO26">
        <f t="shared" si="64"/>
        <v>2.7063599458728013E-3</v>
      </c>
      <c r="EP26">
        <f t="shared" si="65"/>
        <v>7.324384156624632E-6</v>
      </c>
      <c r="EQ26">
        <f t="shared" si="66"/>
        <v>-5.9121507403882561</v>
      </c>
      <c r="ER26">
        <f t="shared" si="67"/>
        <v>-1.6000407957749003E-2</v>
      </c>
      <c r="ES26">
        <f t="shared" si="68"/>
        <v>-4.2282257248249236E-3</v>
      </c>
      <c r="ET26">
        <f t="shared" si="69"/>
        <v>6.5099258980626384</v>
      </c>
      <c r="EV26" t="s">
        <v>571</v>
      </c>
      <c r="EW26" t="s">
        <v>376</v>
      </c>
      <c r="EX26">
        <v>3</v>
      </c>
      <c r="EY26">
        <v>3</v>
      </c>
      <c r="EZ26">
        <v>1</v>
      </c>
      <c r="FA26">
        <v>2</v>
      </c>
      <c r="FB26">
        <f t="shared" si="70"/>
        <v>9</v>
      </c>
      <c r="FC26">
        <f t="shared" si="71"/>
        <v>1.4802631578947367</v>
      </c>
      <c r="FD26">
        <f t="shared" si="72"/>
        <v>1.4802631578947368E-2</v>
      </c>
      <c r="FE26">
        <f t="shared" si="73"/>
        <v>2.1911790166204983E-4</v>
      </c>
      <c r="FF26">
        <f t="shared" si="74"/>
        <v>-4.2129503046299472</v>
      </c>
      <c r="FG26">
        <f t="shared" si="75"/>
        <v>-6.2362751219851187E-2</v>
      </c>
      <c r="FH26">
        <f t="shared" si="76"/>
        <v>-1.6382527052881415E-2</v>
      </c>
      <c r="FI26">
        <f t="shared" si="77"/>
        <v>6.8640873002990608</v>
      </c>
    </row>
    <row r="27" spans="1:165" x14ac:dyDescent="0.25">
      <c r="A27" t="s">
        <v>315</v>
      </c>
      <c r="B27" s="1" t="s">
        <v>128</v>
      </c>
      <c r="C27">
        <v>2</v>
      </c>
      <c r="D27">
        <f>(C27/C31)*100</f>
        <v>0.25</v>
      </c>
      <c r="E27">
        <f t="shared" si="0"/>
        <v>2.5000000000000001E-3</v>
      </c>
      <c r="F27">
        <f t="shared" si="1"/>
        <v>6.2500000000000003E-6</v>
      </c>
      <c r="G27">
        <f t="shared" si="2"/>
        <v>-5.9914645471079817</v>
      </c>
      <c r="H27">
        <f t="shared" si="3"/>
        <v>-1.4978661367769954E-2</v>
      </c>
      <c r="I27">
        <f t="shared" si="4"/>
        <v>-4.5447217131014033E-3</v>
      </c>
      <c r="J27">
        <f t="shared" si="5"/>
        <v>3.8895303211680581</v>
      </c>
      <c r="L27" t="s">
        <v>315</v>
      </c>
      <c r="M27" s="1" t="s">
        <v>56</v>
      </c>
      <c r="N27">
        <v>3</v>
      </c>
      <c r="O27">
        <f>N27/N46*100</f>
        <v>0.31746031746031744</v>
      </c>
      <c r="P27">
        <f t="shared" si="6"/>
        <v>3.1746031746031746E-3</v>
      </c>
      <c r="Q27">
        <f t="shared" si="7"/>
        <v>1.0078105316200555E-5</v>
      </c>
      <c r="R27">
        <f t="shared" si="8"/>
        <v>-5.7525726388256331</v>
      </c>
      <c r="S27">
        <f t="shared" si="9"/>
        <v>-1.8262135361351215E-2</v>
      </c>
      <c r="T27">
        <f t="shared" si="10"/>
        <v>-4.8859683242251416E-3</v>
      </c>
      <c r="U27">
        <f t="shared" si="11"/>
        <v>5.9843662715141974</v>
      </c>
      <c r="W27" t="s">
        <v>303</v>
      </c>
      <c r="X27" s="1" t="s">
        <v>200</v>
      </c>
      <c r="Y27">
        <v>2</v>
      </c>
      <c r="AC27" s="9">
        <f t="shared" si="83"/>
        <v>2</v>
      </c>
      <c r="AD27">
        <f>AC27/AC53*100</f>
        <v>0.1834862385321101</v>
      </c>
      <c r="AE27">
        <f t="shared" si="78"/>
        <v>1.8264840182648401E-3</v>
      </c>
      <c r="AF27">
        <f t="shared" si="12"/>
        <v>3.336043868976877E-6</v>
      </c>
      <c r="AG27">
        <f t="shared" si="13"/>
        <v>-6.3053624616906561</v>
      </c>
      <c r="AH27">
        <f t="shared" si="14"/>
        <v>-1.1516643765645034E-2</v>
      </c>
      <c r="AI27">
        <f t="shared" si="15"/>
        <v>-2.929083037099297E-3</v>
      </c>
      <c r="AJ27">
        <f t="shared" si="16"/>
        <v>7.1443782399249294</v>
      </c>
      <c r="AL27" t="s">
        <v>303</v>
      </c>
      <c r="AM27" s="1" t="s">
        <v>34</v>
      </c>
      <c r="AN27">
        <v>2</v>
      </c>
      <c r="AO27">
        <f>AN27/AN51*100</f>
        <v>0.19102196752626552</v>
      </c>
      <c r="AP27">
        <v>1</v>
      </c>
      <c r="AQ27">
        <v>1</v>
      </c>
      <c r="AU27">
        <f t="shared" si="17"/>
        <v>1.9083969465648854E-3</v>
      </c>
      <c r="AV27">
        <f t="shared" si="18"/>
        <v>3.6419789056581781E-6</v>
      </c>
      <c r="AW27">
        <f t="shared" si="19"/>
        <v>-6.261491684321042</v>
      </c>
      <c r="AX27">
        <f t="shared" si="20"/>
        <v>-1.1949411611299698E-2</v>
      </c>
      <c r="AY27">
        <f t="shared" si="21"/>
        <v>-3.0867453220925021E-3</v>
      </c>
      <c r="AZ27">
        <f t="shared" si="22"/>
        <v>6.7580791631521038</v>
      </c>
      <c r="BC27" t="s">
        <v>303</v>
      </c>
      <c r="BD27" s="27" t="s">
        <v>649</v>
      </c>
      <c r="BE27" s="9">
        <v>2</v>
      </c>
      <c r="BF27">
        <f>BE27/BE59*100</f>
        <v>7.3340667400073334E-2</v>
      </c>
      <c r="BG27">
        <f t="shared" si="23"/>
        <v>7.334066740007334E-4</v>
      </c>
      <c r="BH27">
        <f t="shared" si="24"/>
        <v>5.3788534946881799E-7</v>
      </c>
      <c r="BI27">
        <f t="shared" si="25"/>
        <v>-7.2178102022856434</v>
      </c>
      <c r="BJ27">
        <f t="shared" si="26"/>
        <v>-5.2935901740268744E-3</v>
      </c>
      <c r="BK27">
        <f t="shared" si="27"/>
        <v>-1.3209758034431534E-3</v>
      </c>
      <c r="BL27">
        <f t="shared" si="28"/>
        <v>6.8259753385975239</v>
      </c>
      <c r="BO27" t="s">
        <v>315</v>
      </c>
      <c r="BP27" s="1" t="s">
        <v>174</v>
      </c>
      <c r="BQ27">
        <v>2</v>
      </c>
      <c r="BR27">
        <v>1</v>
      </c>
      <c r="BU27">
        <f t="shared" si="29"/>
        <v>3</v>
      </c>
      <c r="BV27">
        <f>BU27/BU67*100</f>
        <v>5.8685446009389672E-2</v>
      </c>
      <c r="BW27">
        <f t="shared" si="30"/>
        <v>5.8685446009389673E-4</v>
      </c>
      <c r="BX27">
        <f t="shared" si="31"/>
        <v>3.4439815733209904E-7</v>
      </c>
      <c r="BY27">
        <f t="shared" si="32"/>
        <v>-7.4407337073892608</v>
      </c>
      <c r="BZ27">
        <f t="shared" si="33"/>
        <v>-4.3666277625523829E-3</v>
      </c>
      <c r="CA27">
        <f t="shared" si="34"/>
        <v>-1.0539429805980511E-3</v>
      </c>
      <c r="CB27">
        <f t="shared" si="35"/>
        <v>7.2605091805186834</v>
      </c>
      <c r="CD27" t="s">
        <v>568</v>
      </c>
      <c r="CE27" s="1" t="s">
        <v>222</v>
      </c>
      <c r="CG27">
        <v>5</v>
      </c>
      <c r="CJ27">
        <f t="shared" si="36"/>
        <v>5</v>
      </c>
      <c r="CK27">
        <f>CJ27/CJ56*100</f>
        <v>8.9605734767025089E-2</v>
      </c>
      <c r="CL27">
        <f t="shared" si="37"/>
        <v>8.960573476702509E-4</v>
      </c>
      <c r="CM27">
        <f t="shared" si="38"/>
        <v>8.0291877031384485E-7</v>
      </c>
      <c r="CN27">
        <f t="shared" si="39"/>
        <v>-7.0175061429412562</v>
      </c>
      <c r="CO27">
        <f t="shared" si="40"/>
        <v>-6.2880879417036347E-3</v>
      </c>
      <c r="CP27">
        <f t="shared" si="41"/>
        <v>-1.591419914730337E-3</v>
      </c>
      <c r="CQ27">
        <f t="shared" si="42"/>
        <v>5.9117109920543012</v>
      </c>
      <c r="CT27" t="s">
        <v>303</v>
      </c>
      <c r="CU27" t="s">
        <v>70</v>
      </c>
      <c r="CV27">
        <v>9</v>
      </c>
      <c r="CW27">
        <v>11</v>
      </c>
      <c r="CX27">
        <v>9</v>
      </c>
      <c r="CY27">
        <v>9</v>
      </c>
      <c r="CZ27">
        <f t="shared" si="43"/>
        <v>38</v>
      </c>
      <c r="DA27">
        <f>CZ27/CZ72*100</f>
        <v>0.63672922252010722</v>
      </c>
      <c r="DB27">
        <f t="shared" si="81"/>
        <v>6.3672922252010723E-3</v>
      </c>
      <c r="DC27" s="2">
        <f t="shared" si="44"/>
        <v>4.0542410281106024E-5</v>
      </c>
      <c r="DD27">
        <f t="shared" si="45"/>
        <v>-10.113161964314422</v>
      </c>
      <c r="DE27">
        <f t="shared" si="46"/>
        <v>-6.4393457547578428E-2</v>
      </c>
      <c r="DF27">
        <f t="shared" si="47"/>
        <v>-1.5260893461241085E-2</v>
      </c>
      <c r="DG27">
        <f t="shared" si="48"/>
        <v>7.7063160745129649</v>
      </c>
      <c r="DI27" t="s">
        <v>315</v>
      </c>
      <c r="DJ27" t="s">
        <v>349</v>
      </c>
      <c r="DK27">
        <v>1</v>
      </c>
      <c r="DL27">
        <f t="shared" si="49"/>
        <v>7.2463768115942032E-2</v>
      </c>
      <c r="DM27">
        <f t="shared" si="50"/>
        <v>7.246376811594203E-4</v>
      </c>
      <c r="DN27">
        <f t="shared" si="51"/>
        <v>5.2509976895610164E-7</v>
      </c>
      <c r="DO27">
        <f t="shared" si="52"/>
        <v>-7.2298387781512501</v>
      </c>
      <c r="DP27">
        <f t="shared" si="53"/>
        <v>-5.2390136073559787E-3</v>
      </c>
      <c r="DQ27">
        <f t="shared" si="54"/>
        <v>-1.4619745834559778E-3</v>
      </c>
      <c r="DR27">
        <f t="shared" si="55"/>
        <v>5.2558124663256702</v>
      </c>
      <c r="DT27" t="s">
        <v>303</v>
      </c>
      <c r="DU27" t="s">
        <v>374</v>
      </c>
      <c r="DV27">
        <v>2</v>
      </c>
      <c r="DX27">
        <v>4</v>
      </c>
      <c r="DY27">
        <v>3</v>
      </c>
      <c r="DZ27">
        <f t="shared" si="56"/>
        <v>9</v>
      </c>
      <c r="EA27">
        <f t="shared" si="57"/>
        <v>1.0575793184488838</v>
      </c>
      <c r="EB27">
        <f t="shared" si="58"/>
        <v>1.0575793184488837E-2</v>
      </c>
      <c r="EC27">
        <f t="shared" si="59"/>
        <v>1.1184740148108055E-4</v>
      </c>
      <c r="ED27">
        <f t="shared" si="60"/>
        <v>-4.5491875512371545</v>
      </c>
      <c r="EE27">
        <f t="shared" si="61"/>
        <v>-4.811126669933536E-2</v>
      </c>
      <c r="EF27">
        <f t="shared" si="79"/>
        <v>-1.287199555145054E-2</v>
      </c>
      <c r="EH27" t="s">
        <v>303</v>
      </c>
      <c r="EI27" t="s">
        <v>288</v>
      </c>
      <c r="EK27">
        <v>2</v>
      </c>
      <c r="EL27">
        <v>2</v>
      </c>
      <c r="EM27">
        <f t="shared" si="62"/>
        <v>4</v>
      </c>
      <c r="EN27">
        <f t="shared" si="63"/>
        <v>0.54127198917456021</v>
      </c>
      <c r="EO27">
        <f t="shared" si="64"/>
        <v>5.4127198917456026E-3</v>
      </c>
      <c r="EP27">
        <f t="shared" si="65"/>
        <v>2.9297536626498528E-5</v>
      </c>
      <c r="EQ27">
        <f t="shared" si="66"/>
        <v>-5.2190035598283107</v>
      </c>
      <c r="ER27">
        <f t="shared" si="67"/>
        <v>-2.824900438337381E-2</v>
      </c>
      <c r="ES27">
        <f t="shared" si="68"/>
        <v>-7.4650076016734819E-3</v>
      </c>
      <c r="ET27">
        <f t="shared" si="69"/>
        <v>6.5099258980626384</v>
      </c>
      <c r="EV27" t="s">
        <v>303</v>
      </c>
      <c r="EW27" t="s">
        <v>332</v>
      </c>
      <c r="EY27">
        <v>1</v>
      </c>
      <c r="FA27">
        <v>2</v>
      </c>
      <c r="FB27">
        <f t="shared" si="70"/>
        <v>3</v>
      </c>
      <c r="FC27">
        <f t="shared" si="71"/>
        <v>0.49342105263157893</v>
      </c>
      <c r="FD27">
        <f t="shared" si="72"/>
        <v>4.9342105263157892E-3</v>
      </c>
      <c r="FE27">
        <f t="shared" si="73"/>
        <v>2.4346433518005538E-5</v>
      </c>
      <c r="FF27">
        <f t="shared" si="74"/>
        <v>-5.3115625932980572</v>
      </c>
      <c r="FG27">
        <f t="shared" si="75"/>
        <v>-2.6208368059036466E-2</v>
      </c>
      <c r="FH27">
        <f t="shared" si="76"/>
        <v>-6.8848678151704973E-3</v>
      </c>
      <c r="FI27">
        <f t="shared" si="77"/>
        <v>6.8640873002990608</v>
      </c>
    </row>
    <row r="28" spans="1:165" x14ac:dyDescent="0.25">
      <c r="A28" t="s">
        <v>568</v>
      </c>
      <c r="B28" s="1" t="s">
        <v>129</v>
      </c>
      <c r="C28">
        <v>1</v>
      </c>
      <c r="D28">
        <f>(C28/C31)*100</f>
        <v>0.125</v>
      </c>
      <c r="E28">
        <f t="shared" si="0"/>
        <v>1.25E-3</v>
      </c>
      <c r="F28">
        <f t="shared" si="1"/>
        <v>1.5625000000000001E-6</v>
      </c>
      <c r="G28">
        <f t="shared" si="2"/>
        <v>-6.6846117276679271</v>
      </c>
      <c r="H28">
        <f t="shared" si="3"/>
        <v>-8.3557646595849092E-3</v>
      </c>
      <c r="I28">
        <f t="shared" si="4"/>
        <v>-2.5352482538721424E-3</v>
      </c>
      <c r="J28">
        <f t="shared" si="5"/>
        <v>3.8895303211680581</v>
      </c>
      <c r="L28" t="s">
        <v>303</v>
      </c>
      <c r="M28" s="1" t="s">
        <v>57</v>
      </c>
      <c r="N28">
        <v>14</v>
      </c>
      <c r="O28">
        <f>N28/N46*100</f>
        <v>1.4814814814814816</v>
      </c>
      <c r="P28">
        <f t="shared" si="6"/>
        <v>1.4814814814814815E-2</v>
      </c>
      <c r="Q28">
        <f t="shared" si="7"/>
        <v>2.1947873799725654E-4</v>
      </c>
      <c r="R28">
        <f t="shared" si="8"/>
        <v>-4.2121275978784842</v>
      </c>
      <c r="S28">
        <f t="shared" si="9"/>
        <v>-6.2401890338940509E-2</v>
      </c>
      <c r="T28">
        <f t="shared" si="10"/>
        <v>-1.6695400265901609E-2</v>
      </c>
      <c r="U28">
        <f t="shared" si="11"/>
        <v>5.9843662715141974</v>
      </c>
      <c r="W28" t="s">
        <v>571</v>
      </c>
      <c r="X28" t="s">
        <v>89</v>
      </c>
      <c r="Y28">
        <v>4</v>
      </c>
      <c r="AC28" s="9">
        <f t="shared" si="83"/>
        <v>4</v>
      </c>
      <c r="AD28">
        <f>AC28/AC53*100</f>
        <v>0.3669724770642202</v>
      </c>
      <c r="AE28">
        <f t="shared" si="78"/>
        <v>3.6529680365296802E-3</v>
      </c>
      <c r="AF28">
        <f t="shared" si="12"/>
        <v>1.3344175475907508E-5</v>
      </c>
      <c r="AG28">
        <f t="shared" si="13"/>
        <v>-5.6122152811307107</v>
      </c>
      <c r="AH28">
        <f t="shared" si="14"/>
        <v>-2.0501243036093918E-2</v>
      </c>
      <c r="AI28">
        <f t="shared" si="15"/>
        <v>-5.214179099262038E-3</v>
      </c>
      <c r="AJ28">
        <f t="shared" si="16"/>
        <v>7.1443782399249294</v>
      </c>
      <c r="AL28" t="s">
        <v>303</v>
      </c>
      <c r="AM28" s="1" t="s">
        <v>144</v>
      </c>
      <c r="AN28">
        <v>1</v>
      </c>
      <c r="AO28">
        <f>AN28/AN51*100</f>
        <v>9.5510983763132759E-2</v>
      </c>
      <c r="AP28">
        <v>1</v>
      </c>
      <c r="AU28">
        <f t="shared" si="17"/>
        <v>9.5419847328244271E-4</v>
      </c>
      <c r="AV28">
        <f t="shared" si="18"/>
        <v>9.1049472641454453E-7</v>
      </c>
      <c r="AW28">
        <f t="shared" si="19"/>
        <v>-6.9546388648809874</v>
      </c>
      <c r="AX28">
        <f t="shared" si="20"/>
        <v>-6.6361057871001782E-3</v>
      </c>
      <c r="AY28">
        <f t="shared" si="21"/>
        <v>-1.7142240272209088E-3</v>
      </c>
      <c r="AZ28">
        <f t="shared" si="22"/>
        <v>6.7580791631521038</v>
      </c>
      <c r="BC28" t="s">
        <v>303</v>
      </c>
      <c r="BD28" s="26" t="s">
        <v>91</v>
      </c>
      <c r="BE28" s="9">
        <v>4</v>
      </c>
      <c r="BF28">
        <f>BE28/BE59*100</f>
        <v>0.14668133480014667</v>
      </c>
      <c r="BG28">
        <f t="shared" si="23"/>
        <v>1.4668133480014668E-3</v>
      </c>
      <c r="BH28">
        <f t="shared" si="24"/>
        <v>2.151541397875272E-6</v>
      </c>
      <c r="BI28">
        <f t="shared" si="25"/>
        <v>-6.524663021725698</v>
      </c>
      <c r="BJ28">
        <f t="shared" si="26"/>
        <v>-9.5704628114788391E-3</v>
      </c>
      <c r="BK28">
        <f t="shared" si="27"/>
        <v>-2.3882373561417859E-3</v>
      </c>
      <c r="BL28">
        <f t="shared" si="28"/>
        <v>6.8259753385975239</v>
      </c>
      <c r="BO28" t="s">
        <v>320</v>
      </c>
      <c r="BP28" t="s">
        <v>225</v>
      </c>
      <c r="BQ28">
        <v>7</v>
      </c>
      <c r="BS28">
        <v>30</v>
      </c>
      <c r="BU28">
        <f t="shared" si="29"/>
        <v>37</v>
      </c>
      <c r="BV28">
        <f>BU28/BU67*100</f>
        <v>0.72378716744913929</v>
      </c>
      <c r="BW28">
        <f t="shared" si="30"/>
        <v>7.2378716744913932E-3</v>
      </c>
      <c r="BX28">
        <f t="shared" si="31"/>
        <v>5.2386786376404846E-5</v>
      </c>
      <c r="BY28">
        <f t="shared" si="32"/>
        <v>-4.928428083413146</v>
      </c>
      <c r="BZ28">
        <f t="shared" si="33"/>
        <v>-3.5671330024703914E-2</v>
      </c>
      <c r="CA28">
        <f t="shared" si="34"/>
        <v>-8.6097441624284066E-3</v>
      </c>
      <c r="CB28">
        <f t="shared" si="35"/>
        <v>7.2605091805186834</v>
      </c>
      <c r="CD28" t="s">
        <v>303</v>
      </c>
      <c r="CE28" t="s">
        <v>242</v>
      </c>
      <c r="CF28">
        <v>1</v>
      </c>
      <c r="CI28">
        <v>3</v>
      </c>
      <c r="CJ28">
        <f t="shared" si="36"/>
        <v>4</v>
      </c>
      <c r="CK28">
        <f>CJ28/CJ56*100</f>
        <v>7.1684587813620068E-2</v>
      </c>
      <c r="CL28">
        <f t="shared" si="37"/>
        <v>7.1684587813620072E-4</v>
      </c>
      <c r="CM28">
        <f t="shared" si="38"/>
        <v>5.1386801300086077E-7</v>
      </c>
      <c r="CN28">
        <f t="shared" si="39"/>
        <v>-7.2406496942554659</v>
      </c>
      <c r="CO28">
        <f t="shared" si="40"/>
        <v>-5.1904298883551723E-3</v>
      </c>
      <c r="CP28">
        <f t="shared" si="41"/>
        <v>-1.3136192697874472E-3</v>
      </c>
      <c r="CQ28">
        <f t="shared" si="42"/>
        <v>5.9117109920543012</v>
      </c>
      <c r="CT28" t="s">
        <v>304</v>
      </c>
      <c r="CU28" t="s">
        <v>240</v>
      </c>
      <c r="CV28">
        <v>3</v>
      </c>
      <c r="CW28">
        <v>4</v>
      </c>
      <c r="CX28">
        <v>18</v>
      </c>
      <c r="CZ28">
        <f t="shared" si="43"/>
        <v>25</v>
      </c>
      <c r="DA28">
        <f>CZ28/CZ72*100</f>
        <v>0.41890080428954424</v>
      </c>
      <c r="DB28">
        <f t="shared" si="81"/>
        <v>4.1890080428954425E-3</v>
      </c>
      <c r="DC28" s="2">
        <f t="shared" si="44"/>
        <v>1.7547788383442707E-5</v>
      </c>
      <c r="DD28">
        <f t="shared" si="45"/>
        <v>-10.950582634030791</v>
      </c>
      <c r="DE28">
        <f t="shared" si="46"/>
        <v>-4.5872078728346144E-2</v>
      </c>
      <c r="DF28">
        <f t="shared" si="47"/>
        <v>-1.0871429070285727E-2</v>
      </c>
      <c r="DG28">
        <f t="shared" si="48"/>
        <v>7.7063160745129649</v>
      </c>
      <c r="DI28" t="s">
        <v>305</v>
      </c>
      <c r="DJ28" t="s">
        <v>253</v>
      </c>
      <c r="DK28">
        <v>2</v>
      </c>
      <c r="DL28">
        <f t="shared" si="49"/>
        <v>0.14492753623188406</v>
      </c>
      <c r="DM28">
        <f t="shared" si="50"/>
        <v>1.4492753623188406E-3</v>
      </c>
      <c r="DN28">
        <f t="shared" si="51"/>
        <v>2.1003990758244065E-6</v>
      </c>
      <c r="DO28">
        <f t="shared" si="52"/>
        <v>-6.5366915975913047</v>
      </c>
      <c r="DP28">
        <f t="shared" si="53"/>
        <v>-9.4734660834656596E-3</v>
      </c>
      <c r="DQ28">
        <f t="shared" si="54"/>
        <v>-2.6436210457275048E-3</v>
      </c>
      <c r="DR28">
        <f t="shared" si="55"/>
        <v>5.2558124663256702</v>
      </c>
      <c r="DT28" t="s">
        <v>303</v>
      </c>
      <c r="DU28" t="s">
        <v>366</v>
      </c>
      <c r="DV28">
        <v>2</v>
      </c>
      <c r="DW28">
        <v>8</v>
      </c>
      <c r="DX28">
        <v>1</v>
      </c>
      <c r="DZ28">
        <f t="shared" si="56"/>
        <v>11</v>
      </c>
      <c r="EA28">
        <f t="shared" si="57"/>
        <v>1.2925969447708578</v>
      </c>
      <c r="EB28">
        <f t="shared" si="58"/>
        <v>1.2925969447708578E-2</v>
      </c>
      <c r="EC28">
        <f t="shared" si="59"/>
        <v>1.6708068616309559E-4</v>
      </c>
      <c r="ED28">
        <f t="shared" si="60"/>
        <v>-4.3485168557750038</v>
      </c>
      <c r="EE28">
        <f t="shared" si="61"/>
        <v>-5.6208796020593463E-2</v>
      </c>
      <c r="EF28">
        <f t="shared" si="79"/>
        <v>-1.5038460260275482E-2</v>
      </c>
      <c r="EH28" t="s">
        <v>321</v>
      </c>
      <c r="EI28" t="s">
        <v>276</v>
      </c>
      <c r="EJ28">
        <v>11</v>
      </c>
      <c r="EK28">
        <v>51</v>
      </c>
      <c r="EL28">
        <v>20</v>
      </c>
      <c r="EM28">
        <f t="shared" si="62"/>
        <v>82</v>
      </c>
      <c r="EN28">
        <f t="shared" si="63"/>
        <v>11.096075778078484</v>
      </c>
      <c r="EO28">
        <f t="shared" si="64"/>
        <v>0.11096075778078485</v>
      </c>
      <c r="EP28">
        <f t="shared" si="65"/>
        <v>1.2312289767286004E-2</v>
      </c>
      <c r="EQ28">
        <f t="shared" si="66"/>
        <v>-2.1985786736839485</v>
      </c>
      <c r="ER28">
        <f t="shared" si="67"/>
        <v>-0.24395595567264383</v>
      </c>
      <c r="ES28">
        <f t="shared" si="68"/>
        <v>-6.4467159226384935E-2</v>
      </c>
      <c r="ET28">
        <f t="shared" si="69"/>
        <v>6.5099258980626384</v>
      </c>
      <c r="EV28" t="s">
        <v>303</v>
      </c>
      <c r="EW28" t="s">
        <v>288</v>
      </c>
      <c r="EX28">
        <v>4</v>
      </c>
      <c r="FB28">
        <f t="shared" si="70"/>
        <v>4</v>
      </c>
      <c r="FC28">
        <f t="shared" si="71"/>
        <v>0.6578947368421052</v>
      </c>
      <c r="FD28">
        <f t="shared" si="72"/>
        <v>6.5789473684210523E-3</v>
      </c>
      <c r="FE28">
        <f t="shared" si="73"/>
        <v>4.3282548476454287E-5</v>
      </c>
      <c r="FF28">
        <f t="shared" si="74"/>
        <v>-5.0238805208462765</v>
      </c>
      <c r="FG28">
        <f t="shared" si="75"/>
        <v>-3.3051845531883395E-2</v>
      </c>
      <c r="FH28">
        <f t="shared" si="76"/>
        <v>-8.6826309452713319E-3</v>
      </c>
      <c r="FI28">
        <f t="shared" si="77"/>
        <v>6.8640873002990608</v>
      </c>
    </row>
    <row r="29" spans="1:165" x14ac:dyDescent="0.25">
      <c r="A29" t="s">
        <v>315</v>
      </c>
      <c r="B29" s="1" t="s">
        <v>130</v>
      </c>
      <c r="C29">
        <v>3</v>
      </c>
      <c r="D29">
        <f>(C29/C31)*100</f>
        <v>0.375</v>
      </c>
      <c r="E29">
        <f t="shared" si="0"/>
        <v>3.7499999999999999E-3</v>
      </c>
      <c r="F29">
        <f t="shared" si="1"/>
        <v>1.40625E-5</v>
      </c>
      <c r="G29">
        <f t="shared" si="2"/>
        <v>-5.585999438999818</v>
      </c>
      <c r="H29">
        <f t="shared" si="3"/>
        <v>-2.0947497896249317E-2</v>
      </c>
      <c r="I29">
        <f t="shared" si="4"/>
        <v>-6.355744761616427E-3</v>
      </c>
      <c r="J29">
        <f t="shared" si="5"/>
        <v>3.8895303211680581</v>
      </c>
      <c r="L29" t="s">
        <v>303</v>
      </c>
      <c r="M29" s="1" t="s">
        <v>58</v>
      </c>
      <c r="N29">
        <v>3</v>
      </c>
      <c r="O29">
        <f>N29/N46*100</f>
        <v>0.31746031746031744</v>
      </c>
      <c r="P29">
        <f t="shared" si="6"/>
        <v>3.1746031746031746E-3</v>
      </c>
      <c r="Q29">
        <f t="shared" si="7"/>
        <v>1.0078105316200555E-5</v>
      </c>
      <c r="R29">
        <f t="shared" si="8"/>
        <v>-5.7525726388256331</v>
      </c>
      <c r="S29">
        <f t="shared" si="9"/>
        <v>-1.8262135361351215E-2</v>
      </c>
      <c r="T29">
        <f t="shared" si="10"/>
        <v>-4.8859683242251416E-3</v>
      </c>
      <c r="U29">
        <f t="shared" si="11"/>
        <v>5.9843662715141974</v>
      </c>
      <c r="W29" t="s">
        <v>305</v>
      </c>
      <c r="X29" s="1" t="s">
        <v>201</v>
      </c>
      <c r="Y29">
        <v>1</v>
      </c>
      <c r="Z29">
        <v>1</v>
      </c>
      <c r="AC29" s="9">
        <f t="shared" si="83"/>
        <v>2</v>
      </c>
      <c r="AD29">
        <f>AC29/AC53*100</f>
        <v>0.1834862385321101</v>
      </c>
      <c r="AE29">
        <f t="shared" si="78"/>
        <v>1.8264840182648401E-3</v>
      </c>
      <c r="AF29">
        <f t="shared" si="12"/>
        <v>3.336043868976877E-6</v>
      </c>
      <c r="AG29">
        <f t="shared" si="13"/>
        <v>-6.3053624616906561</v>
      </c>
      <c r="AH29">
        <f t="shared" si="14"/>
        <v>-1.1516643765645034E-2</v>
      </c>
      <c r="AI29">
        <f t="shared" si="15"/>
        <v>-2.929083037099297E-3</v>
      </c>
      <c r="AJ29">
        <f t="shared" si="16"/>
        <v>7.1443782399249294</v>
      </c>
      <c r="AL29" t="s">
        <v>315</v>
      </c>
      <c r="AM29" s="19" t="s">
        <v>145</v>
      </c>
      <c r="AN29" s="20">
        <v>7</v>
      </c>
      <c r="AO29" s="20">
        <f>AN29/AN51*100</f>
        <v>0.66857688634192936</v>
      </c>
      <c r="AP29">
        <v>7</v>
      </c>
      <c r="AU29">
        <f t="shared" si="17"/>
        <v>6.6793893129770991E-3</v>
      </c>
      <c r="AV29">
        <f t="shared" si="18"/>
        <v>4.4614241594312681E-5</v>
      </c>
      <c r="AW29">
        <f t="shared" si="19"/>
        <v>-5.0087287158256739</v>
      </c>
      <c r="AX29">
        <f t="shared" si="20"/>
        <v>-3.3455249056087516E-2</v>
      </c>
      <c r="AY29">
        <f t="shared" si="21"/>
        <v>-8.642085224151521E-3</v>
      </c>
      <c r="AZ29">
        <f t="shared" si="22"/>
        <v>6.7580791631521038</v>
      </c>
      <c r="BC29" t="s">
        <v>303</v>
      </c>
      <c r="BD29" s="27" t="s">
        <v>650</v>
      </c>
      <c r="BE29" s="9">
        <v>7</v>
      </c>
      <c r="BF29">
        <f>BE29/BE59*100</f>
        <v>0.2566923359002567</v>
      </c>
      <c r="BG29">
        <f t="shared" si="23"/>
        <v>2.5669233590025669E-3</v>
      </c>
      <c r="BH29">
        <f t="shared" si="24"/>
        <v>6.5890955309930206E-6</v>
      </c>
      <c r="BI29">
        <f t="shared" si="25"/>
        <v>-5.9650472337902753</v>
      </c>
      <c r="BJ29">
        <f t="shared" si="26"/>
        <v>-1.5311819081969904E-2</v>
      </c>
      <c r="BK29">
        <f t="shared" si="27"/>
        <v>-3.8209498372623195E-3</v>
      </c>
      <c r="BL29">
        <f t="shared" si="28"/>
        <v>6.8259753385975239</v>
      </c>
      <c r="BO29" t="s">
        <v>315</v>
      </c>
      <c r="BP29" t="s">
        <v>226</v>
      </c>
      <c r="BQ29">
        <v>4</v>
      </c>
      <c r="BU29">
        <f t="shared" si="29"/>
        <v>4</v>
      </c>
      <c r="BV29">
        <f>BU29/BU67*100</f>
        <v>7.82472613458529E-2</v>
      </c>
      <c r="BW29">
        <f t="shared" si="30"/>
        <v>7.8247261345852897E-4</v>
      </c>
      <c r="BX29">
        <f t="shared" si="31"/>
        <v>6.1226339081262045E-7</v>
      </c>
      <c r="BY29">
        <f t="shared" si="32"/>
        <v>-7.15305163493748</v>
      </c>
      <c r="BZ29">
        <f t="shared" si="33"/>
        <v>-5.5970670069933337E-3</v>
      </c>
      <c r="CA29">
        <f t="shared" si="34"/>
        <v>-1.3509256581352123E-3</v>
      </c>
      <c r="CB29">
        <f t="shared" si="35"/>
        <v>7.2605091805186834</v>
      </c>
      <c r="CD29" t="s">
        <v>303</v>
      </c>
      <c r="CE29" t="s">
        <v>70</v>
      </c>
      <c r="CF29">
        <v>3</v>
      </c>
      <c r="CI29">
        <v>2</v>
      </c>
      <c r="CJ29">
        <f t="shared" si="36"/>
        <v>5</v>
      </c>
      <c r="CK29">
        <f>CJ29/CJ56*100</f>
        <v>8.9605734767025089E-2</v>
      </c>
      <c r="CL29">
        <f t="shared" si="37"/>
        <v>8.960573476702509E-4</v>
      </c>
      <c r="CM29">
        <f t="shared" si="38"/>
        <v>8.0291877031384485E-7</v>
      </c>
      <c r="CN29">
        <f t="shared" si="39"/>
        <v>-7.0175061429412562</v>
      </c>
      <c r="CO29">
        <f t="shared" si="40"/>
        <v>-6.2880879417036347E-3</v>
      </c>
      <c r="CP29">
        <f t="shared" si="41"/>
        <v>-1.591419914730337E-3</v>
      </c>
      <c r="CQ29">
        <f t="shared" si="42"/>
        <v>5.9117109920543012</v>
      </c>
      <c r="CT29" t="s">
        <v>303</v>
      </c>
      <c r="CU29" t="s">
        <v>281</v>
      </c>
      <c r="CV29">
        <v>2</v>
      </c>
      <c r="CZ29">
        <f t="shared" si="43"/>
        <v>2</v>
      </c>
      <c r="DA29">
        <f>CZ29/CZ72*100</f>
        <v>3.351206434316354E-2</v>
      </c>
      <c r="DB29">
        <f t="shared" si="81"/>
        <v>3.351206434316354E-4</v>
      </c>
      <c r="DC29" s="2">
        <f t="shared" si="44"/>
        <v>1.1230584565403331E-7</v>
      </c>
      <c r="DD29">
        <f t="shared" si="45"/>
        <v>-16.002039922647302</v>
      </c>
      <c r="DE29">
        <f t="shared" si="46"/>
        <v>-5.3626139150962813E-3</v>
      </c>
      <c r="DF29">
        <f t="shared" si="47"/>
        <v>-1.2709098524735282E-3</v>
      </c>
      <c r="DG29">
        <f t="shared" si="48"/>
        <v>7.7063160745129649</v>
      </c>
      <c r="DI29" t="s">
        <v>303</v>
      </c>
      <c r="DJ29" t="s">
        <v>332</v>
      </c>
      <c r="DK29">
        <v>1</v>
      </c>
      <c r="DL29">
        <f t="shared" si="49"/>
        <v>7.2463768115942032E-2</v>
      </c>
      <c r="DM29">
        <f t="shared" si="50"/>
        <v>7.246376811594203E-4</v>
      </c>
      <c r="DN29">
        <f t="shared" si="51"/>
        <v>5.2509976895610164E-7</v>
      </c>
      <c r="DO29">
        <f t="shared" si="52"/>
        <v>-7.2298387781512501</v>
      </c>
      <c r="DP29">
        <f t="shared" si="53"/>
        <v>-5.2390136073559787E-3</v>
      </c>
      <c r="DQ29">
        <f t="shared" si="54"/>
        <v>-1.4619745834559778E-3</v>
      </c>
      <c r="DR29">
        <f t="shared" si="55"/>
        <v>5.2558124663256702</v>
      </c>
      <c r="DT29" t="s">
        <v>305</v>
      </c>
      <c r="DU29" t="s">
        <v>253</v>
      </c>
      <c r="DV29">
        <v>6</v>
      </c>
      <c r="DW29">
        <v>3</v>
      </c>
      <c r="DX29">
        <v>3</v>
      </c>
      <c r="DY29">
        <v>3</v>
      </c>
      <c r="DZ29">
        <f t="shared" si="56"/>
        <v>15</v>
      </c>
      <c r="EA29">
        <f t="shared" si="57"/>
        <v>1.762632197414806</v>
      </c>
      <c r="EB29">
        <f t="shared" si="58"/>
        <v>1.7626321974148061E-2</v>
      </c>
      <c r="EC29">
        <f t="shared" si="59"/>
        <v>3.1068722633633479E-4</v>
      </c>
      <c r="ED29">
        <f t="shared" si="60"/>
        <v>-4.038361927471164</v>
      </c>
      <c r="EE29">
        <f t="shared" si="61"/>
        <v>-7.1181467581747898E-2</v>
      </c>
      <c r="EF29">
        <f t="shared" si="79"/>
        <v>-1.9044344431501686E-2</v>
      </c>
      <c r="EH29" t="s">
        <v>303</v>
      </c>
      <c r="EI29" t="s">
        <v>170</v>
      </c>
      <c r="EL29">
        <v>1</v>
      </c>
      <c r="EM29">
        <f t="shared" si="62"/>
        <v>1</v>
      </c>
      <c r="EN29">
        <f t="shared" si="63"/>
        <v>0.13531799729364005</v>
      </c>
      <c r="EO29">
        <f t="shared" si="64"/>
        <v>1.3531799729364006E-3</v>
      </c>
      <c r="EP29">
        <f t="shared" si="65"/>
        <v>1.831096039156158E-6</v>
      </c>
      <c r="EQ29">
        <f t="shared" si="66"/>
        <v>-6.6052979209482015</v>
      </c>
      <c r="ER29">
        <f t="shared" si="67"/>
        <v>-8.9381568619055513E-3</v>
      </c>
      <c r="ES29">
        <f t="shared" si="68"/>
        <v>-2.3619738244065537E-3</v>
      </c>
      <c r="ET29">
        <f t="shared" si="69"/>
        <v>6.5099258980626384</v>
      </c>
      <c r="EV29" t="s">
        <v>568</v>
      </c>
      <c r="EW29" t="s">
        <v>259</v>
      </c>
      <c r="FA29">
        <v>1</v>
      </c>
      <c r="FB29">
        <f t="shared" si="70"/>
        <v>1</v>
      </c>
      <c r="FC29">
        <f t="shared" si="71"/>
        <v>0.1644736842105263</v>
      </c>
      <c r="FD29">
        <f t="shared" si="72"/>
        <v>1.6447368421052631E-3</v>
      </c>
      <c r="FE29">
        <f t="shared" si="73"/>
        <v>2.7051592797783929E-6</v>
      </c>
      <c r="FF29">
        <f t="shared" si="74"/>
        <v>-6.4101748819661672</v>
      </c>
      <c r="FG29">
        <f t="shared" si="75"/>
        <v>-1.0543050792707511E-2</v>
      </c>
      <c r="FH29">
        <f t="shared" si="76"/>
        <v>-2.7696310931268407E-3</v>
      </c>
      <c r="FI29">
        <f t="shared" si="77"/>
        <v>6.8640873002990608</v>
      </c>
    </row>
    <row r="30" spans="1:165" x14ac:dyDescent="0.25">
      <c r="A30" t="s">
        <v>305</v>
      </c>
      <c r="B30" s="1" t="s">
        <v>131</v>
      </c>
      <c r="C30">
        <v>1</v>
      </c>
      <c r="D30">
        <f>(C30/C31)*100</f>
        <v>0.125</v>
      </c>
      <c r="E30">
        <f t="shared" si="0"/>
        <v>1.25E-3</v>
      </c>
      <c r="F30">
        <f t="shared" si="1"/>
        <v>1.5625000000000001E-6</v>
      </c>
      <c r="G30">
        <f t="shared" si="2"/>
        <v>-6.6846117276679271</v>
      </c>
      <c r="H30">
        <f t="shared" si="3"/>
        <v>-8.3557646595849092E-3</v>
      </c>
      <c r="I30">
        <f t="shared" si="4"/>
        <v>-2.5352482538721424E-3</v>
      </c>
      <c r="J30">
        <f t="shared" si="5"/>
        <v>3.8895303211680581</v>
      </c>
      <c r="L30" t="s">
        <v>303</v>
      </c>
      <c r="M30" t="s">
        <v>85</v>
      </c>
      <c r="N30">
        <v>7</v>
      </c>
      <c r="O30">
        <f>N30/N46*100</f>
        <v>0.74074074074074081</v>
      </c>
      <c r="P30">
        <f t="shared" si="6"/>
        <v>7.4074074074074077E-3</v>
      </c>
      <c r="Q30">
        <f t="shared" si="7"/>
        <v>5.4869684499314136E-5</v>
      </c>
      <c r="R30">
        <f t="shared" si="8"/>
        <v>-4.9052747784384296</v>
      </c>
      <c r="S30">
        <f t="shared" si="9"/>
        <v>-3.6335368729173555E-2</v>
      </c>
      <c r="T30">
        <f t="shared" si="10"/>
        <v>-9.7213966026942784E-3</v>
      </c>
      <c r="U30">
        <f t="shared" si="11"/>
        <v>5.9843662715141974</v>
      </c>
      <c r="W30" t="s">
        <v>316</v>
      </c>
      <c r="X30" t="s">
        <v>202</v>
      </c>
      <c r="Y30">
        <v>5</v>
      </c>
      <c r="Z30">
        <v>5</v>
      </c>
      <c r="AC30" s="9">
        <f t="shared" si="83"/>
        <v>10</v>
      </c>
      <c r="AD30">
        <f>AC30/AC53*100</f>
        <v>0.91743119266055051</v>
      </c>
      <c r="AE30">
        <f t="shared" si="78"/>
        <v>9.1324200913242004E-3</v>
      </c>
      <c r="AF30">
        <f t="shared" si="12"/>
        <v>8.3401096724421912E-5</v>
      </c>
      <c r="AG30">
        <f t="shared" si="13"/>
        <v>-4.6959245492565556</v>
      </c>
      <c r="AH30">
        <f t="shared" si="14"/>
        <v>-4.2885155700973107E-2</v>
      </c>
      <c r="AI30">
        <f t="shared" si="15"/>
        <v>-1.0907186560879705E-2</v>
      </c>
      <c r="AJ30">
        <f t="shared" si="16"/>
        <v>7.1443782399249294</v>
      </c>
      <c r="AL30" t="s">
        <v>315</v>
      </c>
      <c r="AM30" s="18" t="s">
        <v>38</v>
      </c>
      <c r="AN30" s="15">
        <v>176</v>
      </c>
      <c r="AO30" s="15">
        <f>AN30/AN51*100</f>
        <v>16.809933142311365</v>
      </c>
      <c r="AP30">
        <v>6</v>
      </c>
      <c r="AQ30">
        <v>2</v>
      </c>
      <c r="AR30">
        <v>165</v>
      </c>
      <c r="AS30">
        <v>3</v>
      </c>
      <c r="AU30">
        <f t="shared" si="17"/>
        <v>0.16793893129770993</v>
      </c>
      <c r="AV30">
        <f t="shared" si="18"/>
        <v>2.8203484645416936E-2</v>
      </c>
      <c r="AW30">
        <f t="shared" si="19"/>
        <v>-1.7841548698428358</v>
      </c>
      <c r="AX30">
        <f t="shared" si="20"/>
        <v>-0.29962906211101059</v>
      </c>
      <c r="AY30">
        <f t="shared" si="21"/>
        <v>-7.7399510195090657E-2</v>
      </c>
      <c r="AZ30">
        <f t="shared" si="22"/>
        <v>6.7580791631521038</v>
      </c>
      <c r="BC30" t="s">
        <v>303</v>
      </c>
      <c r="BD30" s="26" t="s">
        <v>92</v>
      </c>
      <c r="BE30" s="9">
        <v>1</v>
      </c>
      <c r="BF30">
        <f>BE30/BE59*100</f>
        <v>3.6670333700036667E-2</v>
      </c>
      <c r="BG30">
        <f t="shared" si="23"/>
        <v>3.667033370003667E-4</v>
      </c>
      <c r="BH30">
        <f t="shared" si="24"/>
        <v>1.344713373672045E-7</v>
      </c>
      <c r="BI30">
        <f t="shared" si="25"/>
        <v>-7.9109573828455888</v>
      </c>
      <c r="BJ30">
        <f t="shared" si="26"/>
        <v>-2.9009744711571651E-3</v>
      </c>
      <c r="BK30">
        <f t="shared" si="27"/>
        <v>-7.2391646440770696E-4</v>
      </c>
      <c r="BL30">
        <f t="shared" si="28"/>
        <v>6.8259753385975239</v>
      </c>
      <c r="BO30" t="s">
        <v>303</v>
      </c>
      <c r="BP30" t="s">
        <v>227</v>
      </c>
      <c r="BQ30">
        <v>3</v>
      </c>
      <c r="BR30">
        <v>5</v>
      </c>
      <c r="BS30">
        <v>2</v>
      </c>
      <c r="BT30">
        <v>3</v>
      </c>
      <c r="BU30">
        <f t="shared" si="29"/>
        <v>13</v>
      </c>
      <c r="BV30">
        <f>BU30/BU67*100</f>
        <v>0.25430359937402192</v>
      </c>
      <c r="BW30">
        <f t="shared" si="30"/>
        <v>2.5430359937402189E-3</v>
      </c>
      <c r="BX30">
        <f t="shared" si="31"/>
        <v>6.4670320654583031E-6</v>
      </c>
      <c r="BY30">
        <f t="shared" si="32"/>
        <v>-5.9743966385958345</v>
      </c>
      <c r="BZ30">
        <f t="shared" si="33"/>
        <v>-1.5193105692829782E-2</v>
      </c>
      <c r="CA30">
        <f t="shared" si="34"/>
        <v>-3.6670556706859089E-3</v>
      </c>
      <c r="CB30">
        <f t="shared" si="35"/>
        <v>7.2605091805186834</v>
      </c>
      <c r="CD30" t="s">
        <v>303</v>
      </c>
      <c r="CE30" t="s">
        <v>211</v>
      </c>
      <c r="CF30">
        <v>5</v>
      </c>
      <c r="CG30">
        <v>7</v>
      </c>
      <c r="CI30">
        <v>3</v>
      </c>
      <c r="CJ30">
        <f t="shared" si="36"/>
        <v>15</v>
      </c>
      <c r="CK30">
        <f>CJ30/CJ56*100</f>
        <v>0.26881720430107531</v>
      </c>
      <c r="CL30">
        <f t="shared" si="37"/>
        <v>2.6881720430107529E-3</v>
      </c>
      <c r="CM30">
        <f t="shared" si="38"/>
        <v>7.2262689328246053E-6</v>
      </c>
      <c r="CN30">
        <f t="shared" si="39"/>
        <v>-5.9188938542731462</v>
      </c>
      <c r="CO30">
        <f t="shared" si="40"/>
        <v>-1.5911004984605234E-2</v>
      </c>
      <c r="CP30">
        <f t="shared" si="41"/>
        <v>-4.0268346165995526E-3</v>
      </c>
      <c r="CQ30">
        <f t="shared" si="42"/>
        <v>5.9117109920543012</v>
      </c>
      <c r="CT30" t="s">
        <v>303</v>
      </c>
      <c r="CU30" t="s">
        <v>238</v>
      </c>
      <c r="CV30">
        <v>2</v>
      </c>
      <c r="CW30">
        <v>4</v>
      </c>
      <c r="CX30">
        <v>2</v>
      </c>
      <c r="CY30">
        <v>3</v>
      </c>
      <c r="CZ30">
        <f t="shared" si="43"/>
        <v>11</v>
      </c>
      <c r="DA30">
        <f>CZ30/CZ72*100</f>
        <v>0.18431635388739945</v>
      </c>
      <c r="DB30">
        <f t="shared" si="81"/>
        <v>1.8431635388739946E-3</v>
      </c>
      <c r="DC30" s="2">
        <f t="shared" si="44"/>
        <v>3.3972518310345072E-6</v>
      </c>
      <c r="DD30">
        <f t="shared" si="45"/>
        <v>-12.592543738170452</v>
      </c>
      <c r="DE30">
        <f t="shared" si="46"/>
        <v>-2.3210117479871811E-2</v>
      </c>
      <c r="DF30">
        <f t="shared" si="47"/>
        <v>-5.500669533414943E-3</v>
      </c>
      <c r="DG30">
        <f t="shared" si="48"/>
        <v>7.7063160745129649</v>
      </c>
      <c r="DI30" t="s">
        <v>303</v>
      </c>
      <c r="DJ30" t="s">
        <v>288</v>
      </c>
      <c r="DK30">
        <v>5</v>
      </c>
      <c r="DL30">
        <f t="shared" si="49"/>
        <v>0.36231884057971014</v>
      </c>
      <c r="DM30">
        <f t="shared" si="50"/>
        <v>3.6231884057971015E-3</v>
      </c>
      <c r="DN30">
        <f t="shared" si="51"/>
        <v>1.3127494223902542E-5</v>
      </c>
      <c r="DO30">
        <f t="shared" si="52"/>
        <v>-5.6204008657171496</v>
      </c>
      <c r="DP30">
        <f t="shared" si="53"/>
        <v>-2.0363771252598369E-2</v>
      </c>
      <c r="DQ30">
        <f t="shared" si="54"/>
        <v>-5.6826185663669763E-3</v>
      </c>
      <c r="DR30">
        <f t="shared" si="55"/>
        <v>5.2558124663256702</v>
      </c>
      <c r="DT30" t="s">
        <v>325</v>
      </c>
      <c r="DU30" t="s">
        <v>254</v>
      </c>
      <c r="DX30">
        <v>1</v>
      </c>
      <c r="DZ30">
        <f t="shared" si="56"/>
        <v>1</v>
      </c>
      <c r="EA30">
        <f t="shared" si="57"/>
        <v>0.11750881316098707</v>
      </c>
      <c r="EB30">
        <f t="shared" si="58"/>
        <v>1.1750881316098707E-3</v>
      </c>
      <c r="EC30">
        <f t="shared" si="59"/>
        <v>1.3808321170503768E-6</v>
      </c>
      <c r="ED30">
        <f t="shared" si="60"/>
        <v>-6.7464121285733745</v>
      </c>
      <c r="EE30">
        <f t="shared" si="61"/>
        <v>-7.927628823235458E-3</v>
      </c>
      <c r="EF30">
        <f t="shared" si="79"/>
        <v>-2.121008444528184E-3</v>
      </c>
      <c r="EH30" t="s">
        <v>568</v>
      </c>
      <c r="EI30" t="s">
        <v>378</v>
      </c>
      <c r="EK30">
        <v>1</v>
      </c>
      <c r="EM30">
        <f t="shared" si="62"/>
        <v>1</v>
      </c>
      <c r="EN30">
        <f t="shared" si="63"/>
        <v>0.13531799729364005</v>
      </c>
      <c r="EO30">
        <f t="shared" si="64"/>
        <v>1.3531799729364006E-3</v>
      </c>
      <c r="EP30">
        <f t="shared" si="65"/>
        <v>1.831096039156158E-6</v>
      </c>
      <c r="EQ30">
        <f t="shared" si="66"/>
        <v>-6.6052979209482015</v>
      </c>
      <c r="ER30">
        <f t="shared" si="67"/>
        <v>-8.9381568619055513E-3</v>
      </c>
      <c r="ES30">
        <f t="shared" si="68"/>
        <v>-2.3619738244065537E-3</v>
      </c>
      <c r="ET30">
        <f t="shared" si="69"/>
        <v>6.5099258980626384</v>
      </c>
      <c r="EV30" t="s">
        <v>315</v>
      </c>
      <c r="EW30" t="s">
        <v>382</v>
      </c>
      <c r="EZ30">
        <v>45</v>
      </c>
      <c r="FB30">
        <f t="shared" si="70"/>
        <v>45</v>
      </c>
      <c r="FC30">
        <f t="shared" si="71"/>
        <v>7.4013157894736832</v>
      </c>
      <c r="FD30">
        <f t="shared" si="72"/>
        <v>7.4013157894736836E-2</v>
      </c>
      <c r="FE30">
        <f t="shared" si="73"/>
        <v>5.4779475415512461E-3</v>
      </c>
      <c r="FF30">
        <f t="shared" si="74"/>
        <v>-2.6035123921958472</v>
      </c>
      <c r="FG30">
        <f t="shared" si="75"/>
        <v>-0.19269417376449524</v>
      </c>
      <c r="FH30">
        <f t="shared" si="76"/>
        <v>-5.062024129597098E-2</v>
      </c>
      <c r="FI30">
        <f t="shared" si="77"/>
        <v>6.8640873002990608</v>
      </c>
    </row>
    <row r="31" spans="1:165" x14ac:dyDescent="0.25">
      <c r="B31" t="s">
        <v>132</v>
      </c>
      <c r="C31" s="3">
        <f>SUM(C4:C30)</f>
        <v>800</v>
      </c>
      <c r="D31" s="3"/>
      <c r="F31">
        <f>SUM(F4:F30)</f>
        <v>8.838749999999998E-2</v>
      </c>
      <c r="H31" s="3">
        <f>SUM(H4:H30)</f>
        <v>-2.6837387013582434</v>
      </c>
      <c r="I31" s="3">
        <f>SUM(I4:I30)</f>
        <v>-0.81428141333094683</v>
      </c>
      <c r="J31" s="3">
        <f>AVERAGE(J4:J30)</f>
        <v>3.8895303211680567</v>
      </c>
      <c r="L31" t="s">
        <v>303</v>
      </c>
      <c r="M31" t="s">
        <v>86</v>
      </c>
      <c r="N31">
        <v>8</v>
      </c>
      <c r="O31">
        <f>N31/N46*100</f>
        <v>0.84656084656084662</v>
      </c>
      <c r="P31">
        <f t="shared" si="6"/>
        <v>8.4656084656084662E-3</v>
      </c>
      <c r="Q31">
        <f t="shared" si="7"/>
        <v>7.1666526692981724E-5</v>
      </c>
      <c r="R31">
        <f t="shared" si="8"/>
        <v>-4.7717433858139069</v>
      </c>
      <c r="S31">
        <f t="shared" si="9"/>
        <v>-4.0395711202657412E-2</v>
      </c>
      <c r="T31">
        <f t="shared" si="10"/>
        <v>-1.0807726559098688E-2</v>
      </c>
      <c r="U31">
        <f t="shared" si="11"/>
        <v>5.9843662715141974</v>
      </c>
      <c r="W31" t="s">
        <v>303</v>
      </c>
      <c r="X31" t="s">
        <v>105</v>
      </c>
      <c r="Y31">
        <v>5</v>
      </c>
      <c r="AC31" s="9">
        <f t="shared" si="83"/>
        <v>5</v>
      </c>
      <c r="AD31">
        <f>AC31/AC53*100</f>
        <v>0.45871559633027525</v>
      </c>
      <c r="AE31">
        <f t="shared" si="78"/>
        <v>4.5662100456621002E-3</v>
      </c>
      <c r="AF31">
        <f t="shared" si="12"/>
        <v>2.0850274181105478E-5</v>
      </c>
      <c r="AG31">
        <f t="shared" si="13"/>
        <v>-5.389071729816501</v>
      </c>
      <c r="AH31">
        <f t="shared" si="14"/>
        <v>-2.4607633469481738E-2</v>
      </c>
      <c r="AI31">
        <f t="shared" si="15"/>
        <v>-6.258576999110547E-3</v>
      </c>
      <c r="AJ31">
        <f t="shared" si="16"/>
        <v>7.1443782399249294</v>
      </c>
      <c r="AL31" t="s">
        <v>303</v>
      </c>
      <c r="AM31" s="1" t="s">
        <v>146</v>
      </c>
      <c r="AN31">
        <v>8</v>
      </c>
      <c r="AO31">
        <f>AN31/AN51*100</f>
        <v>0.76408787010506207</v>
      </c>
      <c r="AP31">
        <v>3</v>
      </c>
      <c r="AQ31">
        <v>2</v>
      </c>
      <c r="AR31">
        <v>1</v>
      </c>
      <c r="AS31">
        <v>2</v>
      </c>
      <c r="AU31">
        <f t="shared" si="17"/>
        <v>7.6335877862595417E-3</v>
      </c>
      <c r="AV31">
        <f t="shared" si="18"/>
        <v>5.827166249053085E-5</v>
      </c>
      <c r="AW31">
        <f t="shared" si="19"/>
        <v>-4.8751973232011512</v>
      </c>
      <c r="AX31">
        <f t="shared" si="20"/>
        <v>-3.7215246741993516E-2</v>
      </c>
      <c r="AY31">
        <f t="shared" si="21"/>
        <v>-9.613359429575483E-3</v>
      </c>
      <c r="AZ31">
        <f t="shared" si="22"/>
        <v>6.7580791631521038</v>
      </c>
      <c r="BC31" t="s">
        <v>303</v>
      </c>
      <c r="BD31" s="26" t="s">
        <v>93</v>
      </c>
      <c r="BE31" s="9">
        <v>4</v>
      </c>
      <c r="BF31">
        <f>BE31/BE59*100</f>
        <v>0.14668133480014667</v>
      </c>
      <c r="BG31">
        <f t="shared" si="23"/>
        <v>1.4668133480014668E-3</v>
      </c>
      <c r="BH31">
        <f t="shared" si="24"/>
        <v>2.151541397875272E-6</v>
      </c>
      <c r="BI31">
        <f t="shared" si="25"/>
        <v>-6.524663021725698</v>
      </c>
      <c r="BJ31">
        <f t="shared" si="26"/>
        <v>-9.5704628114788391E-3</v>
      </c>
      <c r="BK31">
        <f t="shared" si="27"/>
        <v>-2.3882373561417859E-3</v>
      </c>
      <c r="BL31">
        <f t="shared" si="28"/>
        <v>6.8259753385975239</v>
      </c>
      <c r="BO31" t="s">
        <v>571</v>
      </c>
      <c r="BP31" t="s">
        <v>175</v>
      </c>
      <c r="BQ31">
        <v>1</v>
      </c>
      <c r="BR31">
        <v>4</v>
      </c>
      <c r="BT31">
        <v>3</v>
      </c>
      <c r="BU31">
        <f t="shared" si="29"/>
        <v>8</v>
      </c>
      <c r="BV31">
        <f>BU31/BU67*100</f>
        <v>0.1564945226917058</v>
      </c>
      <c r="BW31">
        <f t="shared" si="30"/>
        <v>1.5649452269170579E-3</v>
      </c>
      <c r="BX31">
        <f t="shared" si="31"/>
        <v>2.4490535632504818E-6</v>
      </c>
      <c r="BY31">
        <f t="shared" si="32"/>
        <v>-6.4599044543775346</v>
      </c>
      <c r="BZ31">
        <f t="shared" si="33"/>
        <v>-1.0109396642218365E-2</v>
      </c>
      <c r="CA31">
        <f t="shared" si="34"/>
        <v>-2.4400356999790722E-3</v>
      </c>
      <c r="CB31">
        <f t="shared" si="35"/>
        <v>7.2605091805186834</v>
      </c>
      <c r="CD31" t="s">
        <v>315</v>
      </c>
      <c r="CE31" t="s">
        <v>240</v>
      </c>
      <c r="CF31">
        <v>25</v>
      </c>
      <c r="CG31">
        <v>39</v>
      </c>
      <c r="CH31">
        <v>120</v>
      </c>
      <c r="CI31">
        <v>4</v>
      </c>
      <c r="CJ31">
        <f t="shared" si="36"/>
        <v>188</v>
      </c>
      <c r="CK31">
        <f>CJ31/CJ56*100</f>
        <v>3.3691756272401432</v>
      </c>
      <c r="CL31">
        <f t="shared" si="37"/>
        <v>3.3691756272401431E-2</v>
      </c>
      <c r="CM31">
        <f t="shared" si="38"/>
        <v>1.1351344407189011E-3</v>
      </c>
      <c r="CN31">
        <f t="shared" si="39"/>
        <v>-3.3905020925454075</v>
      </c>
      <c r="CO31">
        <f t="shared" si="40"/>
        <v>-0.1142319701431069</v>
      </c>
      <c r="CP31">
        <f t="shared" si="41"/>
        <v>-2.8910383230958573E-2</v>
      </c>
      <c r="CQ31">
        <f t="shared" si="42"/>
        <v>5.9117109920543012</v>
      </c>
      <c r="CT31" t="s">
        <v>304</v>
      </c>
      <c r="CU31" t="s">
        <v>236</v>
      </c>
      <c r="CW31">
        <v>1</v>
      </c>
      <c r="CX31">
        <v>4</v>
      </c>
      <c r="CZ31">
        <f t="shared" si="43"/>
        <v>5</v>
      </c>
      <c r="DA31">
        <f>CZ31/CZ72*100</f>
        <v>8.3780160857908847E-2</v>
      </c>
      <c r="DB31">
        <f t="shared" si="81"/>
        <v>8.3780160857908849E-4</v>
      </c>
      <c r="DC31" s="2">
        <f t="shared" si="44"/>
        <v>7.0191153533770814E-7</v>
      </c>
      <c r="DD31">
        <f t="shared" si="45"/>
        <v>-14.169458458898992</v>
      </c>
      <c r="DE31">
        <f t="shared" si="46"/>
        <v>-1.1871195089560149E-2</v>
      </c>
      <c r="DF31">
        <f t="shared" si="47"/>
        <v>-2.8134076103232728E-3</v>
      </c>
      <c r="DG31">
        <f t="shared" si="48"/>
        <v>7.7063160745129649</v>
      </c>
      <c r="DI31" t="s">
        <v>303</v>
      </c>
      <c r="DJ31" t="s">
        <v>290</v>
      </c>
      <c r="DK31">
        <v>1</v>
      </c>
      <c r="DL31">
        <f t="shared" si="49"/>
        <v>7.2463768115942032E-2</v>
      </c>
      <c r="DM31">
        <f t="shared" si="50"/>
        <v>7.246376811594203E-4</v>
      </c>
      <c r="DN31">
        <f t="shared" si="51"/>
        <v>5.2509976895610164E-7</v>
      </c>
      <c r="DO31">
        <f t="shared" si="52"/>
        <v>-7.2298387781512501</v>
      </c>
      <c r="DP31">
        <f t="shared" si="53"/>
        <v>-5.2390136073559787E-3</v>
      </c>
      <c r="DQ31">
        <f t="shared" si="54"/>
        <v>-1.4619745834559778E-3</v>
      </c>
      <c r="DR31">
        <f t="shared" si="55"/>
        <v>5.2558124663256702</v>
      </c>
      <c r="DT31" t="s">
        <v>576</v>
      </c>
      <c r="DU31" t="s">
        <v>257</v>
      </c>
      <c r="DX31">
        <v>1</v>
      </c>
      <c r="DY31">
        <v>3</v>
      </c>
      <c r="DZ31">
        <f t="shared" si="56"/>
        <v>4</v>
      </c>
      <c r="EA31">
        <f t="shared" si="57"/>
        <v>0.4700352526439483</v>
      </c>
      <c r="EB31">
        <f t="shared" si="58"/>
        <v>4.7003525264394828E-3</v>
      </c>
      <c r="EC31">
        <f t="shared" si="59"/>
        <v>2.2093313872806028E-5</v>
      </c>
      <c r="ED31">
        <f t="shared" si="60"/>
        <v>-5.3601177674534837</v>
      </c>
      <c r="EE31">
        <f t="shared" si="61"/>
        <v>-2.5194443090263141E-2</v>
      </c>
      <c r="EF31">
        <f t="shared" si="79"/>
        <v>-6.7406822066404066E-3</v>
      </c>
      <c r="EH31" t="s">
        <v>315</v>
      </c>
      <c r="EI31" t="s">
        <v>382</v>
      </c>
      <c r="EJ31">
        <v>7</v>
      </c>
      <c r="EM31">
        <f t="shared" si="62"/>
        <v>7</v>
      </c>
      <c r="EN31">
        <f t="shared" si="63"/>
        <v>0.94722598105548039</v>
      </c>
      <c r="EO31">
        <f t="shared" si="64"/>
        <v>9.4722598105548041E-3</v>
      </c>
      <c r="EP31">
        <f t="shared" si="65"/>
        <v>8.9723705918651734E-5</v>
      </c>
      <c r="EQ31">
        <f t="shared" si="66"/>
        <v>-4.659387771892888</v>
      </c>
      <c r="ER31">
        <f t="shared" si="67"/>
        <v>-4.4134931533491496E-2</v>
      </c>
      <c r="ES31">
        <f t="shared" si="68"/>
        <v>-1.1662980929365555E-2</v>
      </c>
      <c r="ET31">
        <f t="shared" si="69"/>
        <v>6.5099258980626384</v>
      </c>
      <c r="EV31" t="s">
        <v>303</v>
      </c>
      <c r="EW31" t="s">
        <v>383</v>
      </c>
      <c r="EX31">
        <v>2</v>
      </c>
      <c r="EY31">
        <v>2</v>
      </c>
      <c r="EZ31">
        <v>1</v>
      </c>
      <c r="FB31">
        <f t="shared" si="70"/>
        <v>5</v>
      </c>
      <c r="FC31">
        <f t="shared" si="71"/>
        <v>0.82236842105263153</v>
      </c>
      <c r="FD31">
        <f t="shared" si="72"/>
        <v>8.2236842105263153E-3</v>
      </c>
      <c r="FE31">
        <f t="shared" si="73"/>
        <v>6.7628981994459825E-5</v>
      </c>
      <c r="FF31">
        <f t="shared" si="74"/>
        <v>-4.8007369695320667</v>
      </c>
      <c r="FG31">
        <f t="shared" si="75"/>
        <v>-3.9479744815230811E-2</v>
      </c>
      <c r="FH31">
        <f t="shared" si="76"/>
        <v>-1.0371222802474636E-2</v>
      </c>
      <c r="FI31">
        <f t="shared" si="77"/>
        <v>6.8640873002990608</v>
      </c>
    </row>
    <row r="32" spans="1:165" x14ac:dyDescent="0.25">
      <c r="F32" s="3">
        <f>1/F31</f>
        <v>11.313816999010044</v>
      </c>
      <c r="H32">
        <f>STDEV(H4:H30)</f>
        <v>8.7946143657826742E-2</v>
      </c>
      <c r="I32">
        <f>STDEV(I4:I30)</f>
        <v>2.6684009929304333E-2</v>
      </c>
      <c r="J32">
        <f>STDEV(J4:J30)</f>
        <v>1.3576464362465439E-15</v>
      </c>
      <c r="L32" t="s">
        <v>303</v>
      </c>
      <c r="M32" s="1" t="s">
        <v>59</v>
      </c>
      <c r="N32">
        <v>1</v>
      </c>
      <c r="O32">
        <f>N32/N46*100</f>
        <v>0.10582010582010583</v>
      </c>
      <c r="P32">
        <f t="shared" si="6"/>
        <v>1.0582010582010583E-3</v>
      </c>
      <c r="Q32">
        <f t="shared" si="7"/>
        <v>1.1197894795778394E-6</v>
      </c>
      <c r="R32">
        <f t="shared" si="8"/>
        <v>-6.8511849274937431</v>
      </c>
      <c r="S32">
        <f t="shared" si="9"/>
        <v>-7.2499311402050197E-3</v>
      </c>
      <c r="T32">
        <f t="shared" si="10"/>
        <v>-1.9396928783488247E-3</v>
      </c>
      <c r="U32">
        <f t="shared" si="11"/>
        <v>5.9843662715141974</v>
      </c>
      <c r="W32" t="s">
        <v>303</v>
      </c>
      <c r="X32" s="1" t="s">
        <v>62</v>
      </c>
      <c r="Y32">
        <v>1</v>
      </c>
      <c r="AA32">
        <v>1</v>
      </c>
      <c r="AC32" s="9">
        <f t="shared" si="83"/>
        <v>2</v>
      </c>
      <c r="AD32">
        <f>AC32/AC53*100</f>
        <v>0.1834862385321101</v>
      </c>
      <c r="AE32">
        <f t="shared" si="78"/>
        <v>1.8264840182648401E-3</v>
      </c>
      <c r="AF32">
        <f t="shared" si="12"/>
        <v>3.336043868976877E-6</v>
      </c>
      <c r="AG32">
        <f t="shared" si="13"/>
        <v>-6.3053624616906561</v>
      </c>
      <c r="AH32">
        <f t="shared" si="14"/>
        <v>-1.1516643765645034E-2</v>
      </c>
      <c r="AI32">
        <f t="shared" si="15"/>
        <v>-2.929083037099297E-3</v>
      </c>
      <c r="AJ32">
        <f t="shared" si="16"/>
        <v>7.1443782399249294</v>
      </c>
      <c r="AL32" t="s">
        <v>303</v>
      </c>
      <c r="AM32" s="1" t="s">
        <v>147</v>
      </c>
      <c r="AN32">
        <v>31</v>
      </c>
      <c r="AO32">
        <f>AN32/AN51*100</f>
        <v>2.9608404966571156</v>
      </c>
      <c r="AP32">
        <v>1</v>
      </c>
      <c r="AQ32">
        <v>30</v>
      </c>
      <c r="AU32">
        <f t="shared" si="17"/>
        <v>2.9580152671755726E-2</v>
      </c>
      <c r="AV32">
        <f t="shared" si="18"/>
        <v>8.7498543208437739E-4</v>
      </c>
      <c r="AW32">
        <f t="shared" si="19"/>
        <v>-3.5206516603958411</v>
      </c>
      <c r="AX32">
        <f t="shared" si="20"/>
        <v>-0.10414141361857927</v>
      </c>
      <c r="AY32">
        <f t="shared" si="21"/>
        <v>-2.6901577398109732E-2</v>
      </c>
      <c r="AZ32">
        <f t="shared" si="22"/>
        <v>6.7580791631521038</v>
      </c>
      <c r="BC32" t="s">
        <v>303</v>
      </c>
      <c r="BD32" s="27" t="s">
        <v>651</v>
      </c>
      <c r="BE32" s="9">
        <v>12</v>
      </c>
      <c r="BF32">
        <f>BE32/BE59*100</f>
        <v>0.44004400440044</v>
      </c>
      <c r="BG32">
        <f t="shared" si="23"/>
        <v>4.4004400440044002E-3</v>
      </c>
      <c r="BH32">
        <f t="shared" si="24"/>
        <v>1.9363872580877448E-5</v>
      </c>
      <c r="BI32">
        <f t="shared" si="25"/>
        <v>-5.426050733057588</v>
      </c>
      <c r="BJ32">
        <f t="shared" si="26"/>
        <v>-2.3877010926546042E-2</v>
      </c>
      <c r="BK32">
        <f t="shared" si="27"/>
        <v>-5.9583293484394666E-3</v>
      </c>
      <c r="BL32">
        <f t="shared" si="28"/>
        <v>6.8259753385975239</v>
      </c>
      <c r="BO32" t="s">
        <v>303</v>
      </c>
      <c r="BP32" t="s">
        <v>176</v>
      </c>
      <c r="BQ32">
        <v>30</v>
      </c>
      <c r="BU32">
        <f t="shared" si="29"/>
        <v>30</v>
      </c>
      <c r="BV32">
        <f>BU32/BU67*100</f>
        <v>0.58685446009389663</v>
      </c>
      <c r="BW32">
        <f t="shared" si="30"/>
        <v>5.8685446009389668E-3</v>
      </c>
      <c r="BX32">
        <f t="shared" si="31"/>
        <v>3.4439815733209896E-5</v>
      </c>
      <c r="BY32">
        <f t="shared" si="32"/>
        <v>-5.1381486143952158</v>
      </c>
      <c r="BZ32">
        <f t="shared" si="33"/>
        <v>-3.0153454309831077E-2</v>
      </c>
      <c r="CA32">
        <f t="shared" si="34"/>
        <v>-7.2779323630861644E-3</v>
      </c>
      <c r="CB32">
        <f t="shared" si="35"/>
        <v>7.2605091805186834</v>
      </c>
      <c r="CD32" t="s">
        <v>303</v>
      </c>
      <c r="CE32" s="1" t="s">
        <v>239</v>
      </c>
      <c r="CF32">
        <v>19</v>
      </c>
      <c r="CG32">
        <v>7</v>
      </c>
      <c r="CH32">
        <v>4</v>
      </c>
      <c r="CJ32">
        <f t="shared" si="36"/>
        <v>30</v>
      </c>
      <c r="CK32">
        <f>CJ32/CJ56*100</f>
        <v>0.53763440860215062</v>
      </c>
      <c r="CL32">
        <f t="shared" si="37"/>
        <v>5.3763440860215058E-3</v>
      </c>
      <c r="CM32">
        <f t="shared" si="38"/>
        <v>2.8905075731298421E-5</v>
      </c>
      <c r="CN32">
        <f t="shared" si="39"/>
        <v>-5.2257466737132008</v>
      </c>
      <c r="CO32">
        <f t="shared" si="40"/>
        <v>-2.8095412224264524E-2</v>
      </c>
      <c r="CP32">
        <f t="shared" si="41"/>
        <v>-7.1105237300703172E-3</v>
      </c>
      <c r="CQ32">
        <f t="shared" si="42"/>
        <v>5.9117109920543012</v>
      </c>
      <c r="CT32" t="s">
        <v>303</v>
      </c>
      <c r="CU32" t="s">
        <v>235</v>
      </c>
      <c r="CV32">
        <v>3</v>
      </c>
      <c r="CW32">
        <v>3</v>
      </c>
      <c r="CX32">
        <v>8</v>
      </c>
      <c r="CY32">
        <v>9</v>
      </c>
      <c r="CZ32">
        <f t="shared" si="43"/>
        <v>23</v>
      </c>
      <c r="DA32">
        <f>CZ32/CZ72*100</f>
        <v>0.38538873994638068</v>
      </c>
      <c r="DB32">
        <f t="shared" si="81"/>
        <v>3.8538873994638069E-3</v>
      </c>
      <c r="DC32" s="2">
        <f t="shared" si="44"/>
        <v>1.4852448087745905E-5</v>
      </c>
      <c r="DD32">
        <f t="shared" si="45"/>
        <v>-11.117345851908894</v>
      </c>
      <c r="DE32">
        <f t="shared" si="46"/>
        <v>-4.2844999094152909E-2</v>
      </c>
      <c r="DF32">
        <f t="shared" si="47"/>
        <v>-1.0154027931171823E-2</v>
      </c>
      <c r="DG32">
        <f t="shared" si="48"/>
        <v>7.7063160745129649</v>
      </c>
      <c r="DI32" t="s">
        <v>303</v>
      </c>
      <c r="DJ32" t="s">
        <v>369</v>
      </c>
      <c r="DK32">
        <v>4</v>
      </c>
      <c r="DL32">
        <f t="shared" si="49"/>
        <v>0.28985507246376813</v>
      </c>
      <c r="DM32">
        <f t="shared" si="50"/>
        <v>2.8985507246376812E-3</v>
      </c>
      <c r="DN32">
        <f t="shared" si="51"/>
        <v>8.4015963032976262E-6</v>
      </c>
      <c r="DO32">
        <f t="shared" si="52"/>
        <v>-5.8435444170313602</v>
      </c>
      <c r="DP32">
        <f t="shared" si="53"/>
        <v>-1.6937809904438727E-2</v>
      </c>
      <c r="DQ32">
        <f t="shared" si="54"/>
        <v>-4.7265858490861097E-3</v>
      </c>
      <c r="DR32">
        <f t="shared" si="55"/>
        <v>5.2558124663256702</v>
      </c>
      <c r="DT32" t="s">
        <v>303</v>
      </c>
      <c r="DU32" t="s">
        <v>367</v>
      </c>
      <c r="DV32">
        <v>5</v>
      </c>
      <c r="DW32">
        <v>1</v>
      </c>
      <c r="DZ32">
        <f t="shared" si="56"/>
        <v>6</v>
      </c>
      <c r="EA32">
        <f t="shared" si="57"/>
        <v>0.7050528789659225</v>
      </c>
      <c r="EB32">
        <f t="shared" si="58"/>
        <v>7.0505287896592246E-3</v>
      </c>
      <c r="EC32">
        <f t="shared" si="59"/>
        <v>4.9709956213813569E-5</v>
      </c>
      <c r="ED32">
        <f t="shared" si="60"/>
        <v>-4.9546526593453191</v>
      </c>
      <c r="EE32">
        <f t="shared" si="61"/>
        <v>-3.4932921217475814E-2</v>
      </c>
      <c r="EF32">
        <f t="shared" si="79"/>
        <v>-9.3461768387971527E-3</v>
      </c>
      <c r="EH32" t="s">
        <v>315</v>
      </c>
      <c r="EI32" t="s">
        <v>94</v>
      </c>
      <c r="EJ32">
        <v>1</v>
      </c>
      <c r="EM32">
        <f t="shared" si="62"/>
        <v>1</v>
      </c>
      <c r="EN32">
        <f t="shared" si="63"/>
        <v>0.13531799729364005</v>
      </c>
      <c r="EO32">
        <f t="shared" si="64"/>
        <v>1.3531799729364006E-3</v>
      </c>
      <c r="EP32">
        <f t="shared" si="65"/>
        <v>1.831096039156158E-6</v>
      </c>
      <c r="EQ32">
        <f t="shared" si="66"/>
        <v>-6.6052979209482015</v>
      </c>
      <c r="ER32">
        <f t="shared" si="67"/>
        <v>-8.9381568619055513E-3</v>
      </c>
      <c r="ES32">
        <f t="shared" si="68"/>
        <v>-2.3619738244065537E-3</v>
      </c>
      <c r="ET32">
        <f t="shared" si="69"/>
        <v>6.5099258980626384</v>
      </c>
      <c r="EV32" t="s">
        <v>315</v>
      </c>
      <c r="EW32" t="s">
        <v>399</v>
      </c>
      <c r="EX32">
        <v>1</v>
      </c>
      <c r="EY32">
        <v>1</v>
      </c>
      <c r="EZ32">
        <v>1</v>
      </c>
      <c r="FB32">
        <f t="shared" si="70"/>
        <v>3</v>
      </c>
      <c r="FC32">
        <f t="shared" si="71"/>
        <v>0.49342105263157893</v>
      </c>
      <c r="FD32">
        <f t="shared" si="72"/>
        <v>4.9342105263157892E-3</v>
      </c>
      <c r="FE32">
        <f t="shared" si="73"/>
        <v>2.4346433518005538E-5</v>
      </c>
      <c r="FF32">
        <f t="shared" si="74"/>
        <v>-5.3115625932980572</v>
      </c>
      <c r="FG32">
        <f t="shared" si="75"/>
        <v>-2.6208368059036466E-2</v>
      </c>
      <c r="FH32">
        <f t="shared" si="76"/>
        <v>-6.8848678151704973E-3</v>
      </c>
      <c r="FI32">
        <f t="shared" si="77"/>
        <v>6.8640873002990608</v>
      </c>
    </row>
    <row r="33" spans="12:165" x14ac:dyDescent="0.25">
      <c r="L33" t="s">
        <v>305</v>
      </c>
      <c r="M33" s="1" t="s">
        <v>60</v>
      </c>
      <c r="N33">
        <v>12</v>
      </c>
      <c r="O33">
        <f>N33/N46*100</f>
        <v>1.2698412698412698</v>
      </c>
      <c r="P33">
        <f t="shared" si="6"/>
        <v>1.2698412698412698E-2</v>
      </c>
      <c r="Q33">
        <f t="shared" si="7"/>
        <v>1.6124968505920888E-4</v>
      </c>
      <c r="R33">
        <f t="shared" si="8"/>
        <v>-4.3662782777057423</v>
      </c>
      <c r="S33">
        <f t="shared" si="9"/>
        <v>-5.5444803526422122E-2</v>
      </c>
      <c r="T33">
        <f t="shared" si="10"/>
        <v>-1.4834056829208658E-2</v>
      </c>
      <c r="U33">
        <f t="shared" si="11"/>
        <v>5.9843662715141974</v>
      </c>
      <c r="W33" t="s">
        <v>315</v>
      </c>
      <c r="X33" t="s">
        <v>102</v>
      </c>
      <c r="Y33">
        <v>4</v>
      </c>
      <c r="AC33" s="9">
        <f t="shared" si="83"/>
        <v>4</v>
      </c>
      <c r="AD33">
        <f>AC33/AC53*100</f>
        <v>0.3669724770642202</v>
      </c>
      <c r="AE33">
        <f t="shared" si="78"/>
        <v>3.6529680365296802E-3</v>
      </c>
      <c r="AF33">
        <f t="shared" si="12"/>
        <v>1.3344175475907508E-5</v>
      </c>
      <c r="AG33">
        <f t="shared" si="13"/>
        <v>-5.6122152811307107</v>
      </c>
      <c r="AH33">
        <f t="shared" si="14"/>
        <v>-2.0501243036093918E-2</v>
      </c>
      <c r="AI33">
        <f t="shared" si="15"/>
        <v>-5.214179099262038E-3</v>
      </c>
      <c r="AJ33">
        <f t="shared" si="16"/>
        <v>7.1443782399249294</v>
      </c>
      <c r="AL33" t="s">
        <v>303</v>
      </c>
      <c r="AM33" s="1" t="s">
        <v>55</v>
      </c>
      <c r="AN33">
        <v>4</v>
      </c>
      <c r="AO33">
        <f>AN33/AN51*100</f>
        <v>0.38204393505253104</v>
      </c>
      <c r="AP33">
        <v>1</v>
      </c>
      <c r="AQ33">
        <v>1</v>
      </c>
      <c r="AR33">
        <v>2</v>
      </c>
      <c r="AU33">
        <f t="shared" si="17"/>
        <v>3.8167938931297708E-3</v>
      </c>
      <c r="AV33">
        <f t="shared" si="18"/>
        <v>1.4567915622632712E-5</v>
      </c>
      <c r="AW33">
        <f t="shared" si="19"/>
        <v>-5.5683445037610966</v>
      </c>
      <c r="AX33">
        <f t="shared" si="20"/>
        <v>-2.1253223296798077E-2</v>
      </c>
      <c r="AY33">
        <f t="shared" si="21"/>
        <v>-5.4900851794863724E-3</v>
      </c>
      <c r="AZ33">
        <f t="shared" si="22"/>
        <v>6.7580791631521038</v>
      </c>
      <c r="BC33" t="s">
        <v>315</v>
      </c>
      <c r="BD33" s="27" t="s">
        <v>652</v>
      </c>
      <c r="BE33" s="9">
        <v>116</v>
      </c>
      <c r="BF33" s="20">
        <f>BE33/BE59*100</f>
        <v>4.2537587092042539</v>
      </c>
      <c r="BG33">
        <f t="shared" si="23"/>
        <v>4.2537587092042535E-2</v>
      </c>
      <c r="BH33">
        <f t="shared" si="24"/>
        <v>1.8094463156131037E-3</v>
      </c>
      <c r="BI33">
        <f t="shared" si="25"/>
        <v>-3.1573671917392239</v>
      </c>
      <c r="BJ33">
        <f t="shared" si="26"/>
        <v>-0.13430678190016498</v>
      </c>
      <c r="BK33">
        <f t="shared" si="27"/>
        <v>-3.3515252087124282E-2</v>
      </c>
      <c r="BL33">
        <f t="shared" si="28"/>
        <v>6.8259753385975239</v>
      </c>
      <c r="BO33" t="s">
        <v>568</v>
      </c>
      <c r="BP33" t="s">
        <v>223</v>
      </c>
      <c r="BQ33">
        <v>5</v>
      </c>
      <c r="BU33">
        <f t="shared" si="29"/>
        <v>5</v>
      </c>
      <c r="BV33">
        <f>BU33/BU67*100</f>
        <v>9.7809076682316115E-2</v>
      </c>
      <c r="BW33">
        <f t="shared" si="30"/>
        <v>9.7809076682316121E-4</v>
      </c>
      <c r="BX33">
        <f t="shared" si="31"/>
        <v>9.5666154814471954E-7</v>
      </c>
      <c r="BY33">
        <f t="shared" si="32"/>
        <v>-6.9299080836232703</v>
      </c>
      <c r="BZ33">
        <f t="shared" si="33"/>
        <v>-6.7780791115251079E-3</v>
      </c>
      <c r="CA33">
        <f t="shared" si="34"/>
        <v>-1.6359784460662429E-3</v>
      </c>
      <c r="CB33">
        <f t="shared" si="35"/>
        <v>7.2605091805186834</v>
      </c>
      <c r="CD33" t="s">
        <v>303</v>
      </c>
      <c r="CE33" t="s">
        <v>238</v>
      </c>
      <c r="CG33">
        <v>1</v>
      </c>
      <c r="CJ33">
        <f t="shared" si="36"/>
        <v>1</v>
      </c>
      <c r="CK33">
        <f>CJ33/CJ56*100</f>
        <v>1.7921146953405017E-2</v>
      </c>
      <c r="CL33">
        <f t="shared" si="37"/>
        <v>1.7921146953405018E-4</v>
      </c>
      <c r="CM33">
        <f t="shared" si="38"/>
        <v>3.2116750812553798E-8</v>
      </c>
      <c r="CN33">
        <f t="shared" si="39"/>
        <v>-8.6269440553753558</v>
      </c>
      <c r="CO33">
        <f t="shared" si="40"/>
        <v>-1.5460473217518559E-3</v>
      </c>
      <c r="CP33">
        <f t="shared" si="41"/>
        <v>-3.9128118432211432E-4</v>
      </c>
      <c r="CQ33">
        <f t="shared" si="42"/>
        <v>5.9117109920543012</v>
      </c>
      <c r="CT33" t="s">
        <v>303</v>
      </c>
      <c r="CU33" t="s">
        <v>234</v>
      </c>
      <c r="CX33">
        <v>2</v>
      </c>
      <c r="CZ33">
        <f t="shared" si="43"/>
        <v>2</v>
      </c>
      <c r="DA33">
        <f>CZ33/CZ72*100</f>
        <v>3.351206434316354E-2</v>
      </c>
      <c r="DB33">
        <f t="shared" si="81"/>
        <v>3.351206434316354E-4</v>
      </c>
      <c r="DC33" s="2">
        <f t="shared" si="44"/>
        <v>1.1230584565403331E-7</v>
      </c>
      <c r="DD33">
        <f t="shared" si="45"/>
        <v>-16.002039922647302</v>
      </c>
      <c r="DE33">
        <f t="shared" si="46"/>
        <v>-5.3626139150962813E-3</v>
      </c>
      <c r="DF33">
        <f t="shared" si="47"/>
        <v>-1.2709098524735282E-3</v>
      </c>
      <c r="DG33">
        <f t="shared" si="48"/>
        <v>7.7063160745129649</v>
      </c>
      <c r="DI33" t="s">
        <v>321</v>
      </c>
      <c r="DJ33" t="s">
        <v>276</v>
      </c>
      <c r="DK33">
        <v>5</v>
      </c>
      <c r="DL33">
        <f t="shared" si="49"/>
        <v>0.36231884057971014</v>
      </c>
      <c r="DM33">
        <f t="shared" si="50"/>
        <v>3.6231884057971015E-3</v>
      </c>
      <c r="DN33">
        <f t="shared" si="51"/>
        <v>1.3127494223902542E-5</v>
      </c>
      <c r="DO33">
        <f t="shared" si="52"/>
        <v>-5.6204008657171496</v>
      </c>
      <c r="DP33">
        <f t="shared" si="53"/>
        <v>-2.0363771252598369E-2</v>
      </c>
      <c r="DQ33">
        <f t="shared" si="54"/>
        <v>-5.6826185663669763E-3</v>
      </c>
      <c r="DR33">
        <f t="shared" si="55"/>
        <v>5.2558124663256702</v>
      </c>
      <c r="DT33" t="s">
        <v>571</v>
      </c>
      <c r="DU33" t="s">
        <v>376</v>
      </c>
      <c r="DX33">
        <v>3</v>
      </c>
      <c r="DY33">
        <v>3</v>
      </c>
      <c r="DZ33">
        <f t="shared" si="56"/>
        <v>6</v>
      </c>
      <c r="EA33">
        <f t="shared" si="57"/>
        <v>0.7050528789659225</v>
      </c>
      <c r="EB33">
        <f t="shared" si="58"/>
        <v>7.0505287896592246E-3</v>
      </c>
      <c r="EC33">
        <f t="shared" si="59"/>
        <v>4.9709956213813569E-5</v>
      </c>
      <c r="ED33">
        <f t="shared" si="60"/>
        <v>-4.9546526593453191</v>
      </c>
      <c r="EE33">
        <f t="shared" si="61"/>
        <v>-3.4932921217475814E-2</v>
      </c>
      <c r="EF33">
        <f t="shared" si="79"/>
        <v>-9.3461768387971527E-3</v>
      </c>
      <c r="EH33" t="s">
        <v>303</v>
      </c>
      <c r="EI33" t="s">
        <v>383</v>
      </c>
      <c r="EJ33">
        <v>1</v>
      </c>
      <c r="EM33">
        <f t="shared" si="62"/>
        <v>1</v>
      </c>
      <c r="EN33">
        <f t="shared" si="63"/>
        <v>0.13531799729364005</v>
      </c>
      <c r="EO33">
        <f t="shared" si="64"/>
        <v>1.3531799729364006E-3</v>
      </c>
      <c r="EP33">
        <f t="shared" si="65"/>
        <v>1.831096039156158E-6</v>
      </c>
      <c r="EQ33">
        <f t="shared" si="66"/>
        <v>-6.6052979209482015</v>
      </c>
      <c r="ER33">
        <f t="shared" si="67"/>
        <v>-8.9381568619055513E-3</v>
      </c>
      <c r="ES33">
        <f t="shared" si="68"/>
        <v>-2.3619738244065537E-3</v>
      </c>
      <c r="ET33">
        <f t="shared" si="69"/>
        <v>6.5099258980626384</v>
      </c>
      <c r="EV33" t="s">
        <v>303</v>
      </c>
      <c r="EW33" t="s">
        <v>386</v>
      </c>
      <c r="EY33">
        <v>1</v>
      </c>
      <c r="EZ33">
        <v>1</v>
      </c>
      <c r="FA33">
        <v>3</v>
      </c>
      <c r="FB33">
        <f t="shared" si="70"/>
        <v>5</v>
      </c>
      <c r="FC33">
        <f t="shared" si="71"/>
        <v>0.82236842105263153</v>
      </c>
      <c r="FD33">
        <f t="shared" si="72"/>
        <v>8.2236842105263153E-3</v>
      </c>
      <c r="FE33">
        <f t="shared" si="73"/>
        <v>6.7628981994459825E-5</v>
      </c>
      <c r="FF33">
        <f t="shared" si="74"/>
        <v>-4.8007369695320667</v>
      </c>
      <c r="FG33">
        <f t="shared" si="75"/>
        <v>-3.9479744815230811E-2</v>
      </c>
      <c r="FH33">
        <f t="shared" si="76"/>
        <v>-1.0371222802474636E-2</v>
      </c>
      <c r="FI33">
        <f t="shared" si="77"/>
        <v>6.8640873002990608</v>
      </c>
    </row>
    <row r="34" spans="12:165" x14ac:dyDescent="0.25">
      <c r="L34" t="s">
        <v>303</v>
      </c>
      <c r="M34" t="s">
        <v>87</v>
      </c>
      <c r="N34">
        <v>14</v>
      </c>
      <c r="O34">
        <f>N34/N46*100</f>
        <v>1.4814814814814816</v>
      </c>
      <c r="P34">
        <f t="shared" si="6"/>
        <v>1.4814814814814815E-2</v>
      </c>
      <c r="Q34">
        <f t="shared" si="7"/>
        <v>2.1947873799725654E-4</v>
      </c>
      <c r="R34">
        <f t="shared" si="8"/>
        <v>-4.2121275978784842</v>
      </c>
      <c r="S34">
        <f t="shared" si="9"/>
        <v>-6.2401890338940509E-2</v>
      </c>
      <c r="T34">
        <f t="shared" si="10"/>
        <v>-1.6695400265901609E-2</v>
      </c>
      <c r="U34">
        <f t="shared" si="11"/>
        <v>5.9843662715141974</v>
      </c>
      <c r="W34" t="s">
        <v>315</v>
      </c>
      <c r="X34" t="s">
        <v>203</v>
      </c>
      <c r="Y34">
        <v>2</v>
      </c>
      <c r="AC34" s="9">
        <f t="shared" si="83"/>
        <v>2</v>
      </c>
      <c r="AD34">
        <f>AC34/AC53*100</f>
        <v>0.1834862385321101</v>
      </c>
      <c r="AE34">
        <f t="shared" si="78"/>
        <v>1.8264840182648401E-3</v>
      </c>
      <c r="AF34">
        <f t="shared" si="12"/>
        <v>3.336043868976877E-6</v>
      </c>
      <c r="AG34">
        <f t="shared" si="13"/>
        <v>-6.3053624616906561</v>
      </c>
      <c r="AH34">
        <f t="shared" si="14"/>
        <v>-1.1516643765645034E-2</v>
      </c>
      <c r="AI34">
        <f t="shared" si="15"/>
        <v>-2.929083037099297E-3</v>
      </c>
      <c r="AJ34">
        <f t="shared" si="16"/>
        <v>7.1443782399249294</v>
      </c>
      <c r="AL34" t="s">
        <v>303</v>
      </c>
      <c r="AM34" s="1" t="s">
        <v>148</v>
      </c>
      <c r="AN34">
        <v>3</v>
      </c>
      <c r="AO34">
        <f>AN34/AN51*100</f>
        <v>0.28653295128939826</v>
      </c>
      <c r="AP34">
        <v>1</v>
      </c>
      <c r="AQ34">
        <v>1</v>
      </c>
      <c r="AR34">
        <v>1</v>
      </c>
      <c r="AU34">
        <f t="shared" si="17"/>
        <v>2.8625954198473282E-3</v>
      </c>
      <c r="AV34">
        <f t="shared" si="18"/>
        <v>8.1944525377309007E-6</v>
      </c>
      <c r="AW34">
        <f t="shared" si="19"/>
        <v>-5.8560265762128774</v>
      </c>
      <c r="AX34">
        <f t="shared" si="20"/>
        <v>-1.6763434855571215E-2</v>
      </c>
      <c r="AY34">
        <f t="shared" si="21"/>
        <v>-4.3302930559112919E-3</v>
      </c>
      <c r="AZ34">
        <f t="shared" si="22"/>
        <v>6.7580791631521038</v>
      </c>
      <c r="BC34" t="s">
        <v>576</v>
      </c>
      <c r="BD34" s="27" t="s">
        <v>653</v>
      </c>
      <c r="BE34" s="9">
        <v>1</v>
      </c>
      <c r="BF34">
        <f>BE34/BE59*100</f>
        <v>3.6670333700036667E-2</v>
      </c>
      <c r="BG34">
        <f t="shared" si="23"/>
        <v>3.667033370003667E-4</v>
      </c>
      <c r="BH34">
        <f t="shared" si="24"/>
        <v>1.344713373672045E-7</v>
      </c>
      <c r="BI34">
        <f t="shared" si="25"/>
        <v>-7.9109573828455888</v>
      </c>
      <c r="BJ34">
        <f t="shared" si="26"/>
        <v>-2.9009744711571651E-3</v>
      </c>
      <c r="BK34">
        <f t="shared" si="27"/>
        <v>-7.2391646440770696E-4</v>
      </c>
      <c r="BL34">
        <f t="shared" si="28"/>
        <v>6.8259753385975239</v>
      </c>
      <c r="BO34" t="s">
        <v>303</v>
      </c>
      <c r="BP34" t="s">
        <v>228</v>
      </c>
      <c r="BQ34">
        <v>1</v>
      </c>
      <c r="BU34">
        <f t="shared" si="29"/>
        <v>1</v>
      </c>
      <c r="BV34">
        <f>BU34/BU67*100</f>
        <v>1.9561815336463225E-2</v>
      </c>
      <c r="BW34">
        <f t="shared" si="30"/>
        <v>1.9561815336463224E-4</v>
      </c>
      <c r="BX34">
        <f t="shared" si="31"/>
        <v>3.8266461925788778E-8</v>
      </c>
      <c r="BY34">
        <f t="shared" si="32"/>
        <v>-8.5393459960573708</v>
      </c>
      <c r="BZ34">
        <f t="shared" si="33"/>
        <v>-1.670451094690409E-3</v>
      </c>
      <c r="CA34">
        <f t="shared" si="34"/>
        <v>-4.0318531860664115E-4</v>
      </c>
      <c r="CB34">
        <f t="shared" si="35"/>
        <v>7.2605091805186834</v>
      </c>
      <c r="CD34" t="s">
        <v>303</v>
      </c>
      <c r="CE34" t="s">
        <v>263</v>
      </c>
      <c r="CG34">
        <v>1</v>
      </c>
      <c r="CJ34">
        <f t="shared" si="36"/>
        <v>1</v>
      </c>
      <c r="CK34">
        <f>CJ34/CJ56*100</f>
        <v>1.7921146953405017E-2</v>
      </c>
      <c r="CL34">
        <f t="shared" si="37"/>
        <v>1.7921146953405018E-4</v>
      </c>
      <c r="CM34">
        <f t="shared" si="38"/>
        <v>3.2116750812553798E-8</v>
      </c>
      <c r="CN34">
        <f t="shared" si="39"/>
        <v>-8.6269440553753558</v>
      </c>
      <c r="CO34">
        <f t="shared" si="40"/>
        <v>-1.5460473217518559E-3</v>
      </c>
      <c r="CP34">
        <f t="shared" si="41"/>
        <v>-3.9128118432211432E-4</v>
      </c>
      <c r="CQ34">
        <f t="shared" si="42"/>
        <v>5.9117109920543012</v>
      </c>
      <c r="CT34" t="s">
        <v>303</v>
      </c>
      <c r="CU34" t="s">
        <v>200</v>
      </c>
      <c r="CW34">
        <v>3</v>
      </c>
      <c r="CZ34">
        <f t="shared" si="43"/>
        <v>3</v>
      </c>
      <c r="DA34">
        <f>CZ34/CZ72*100</f>
        <v>5.0268096514745307E-2</v>
      </c>
      <c r="DB34">
        <f t="shared" si="81"/>
        <v>5.0268096514745309E-4</v>
      </c>
      <c r="DC34" s="2">
        <f t="shared" si="44"/>
        <v>2.5268815272157497E-7</v>
      </c>
      <c r="DD34">
        <f t="shared" si="45"/>
        <v>-15.191109706430973</v>
      </c>
      <c r="DE34">
        <f t="shared" si="46"/>
        <v>-7.6362816888895643E-3</v>
      </c>
      <c r="DF34">
        <f t="shared" si="47"/>
        <v>-1.8097565456562791E-3</v>
      </c>
      <c r="DG34">
        <f t="shared" si="48"/>
        <v>7.7063160745129649</v>
      </c>
      <c r="DI34" t="s">
        <v>568</v>
      </c>
      <c r="DJ34" t="s">
        <v>560</v>
      </c>
      <c r="DK34">
        <v>3</v>
      </c>
      <c r="DL34">
        <f t="shared" si="49"/>
        <v>0.21739130434782608</v>
      </c>
      <c r="DM34">
        <f t="shared" si="50"/>
        <v>2.1739130434782609E-3</v>
      </c>
      <c r="DN34">
        <f t="shared" si="51"/>
        <v>4.7258979206049154E-6</v>
      </c>
      <c r="DO34">
        <f t="shared" si="52"/>
        <v>-6.131226489483141</v>
      </c>
      <c r="DP34">
        <f t="shared" si="53"/>
        <v>-1.3328753238006828E-2</v>
      </c>
      <c r="DQ34">
        <f t="shared" si="54"/>
        <v>-3.7194594104054783E-3</v>
      </c>
      <c r="DR34">
        <f t="shared" si="55"/>
        <v>5.2558124663256702</v>
      </c>
      <c r="DT34" t="s">
        <v>303</v>
      </c>
      <c r="DU34" t="s">
        <v>332</v>
      </c>
      <c r="DW34">
        <v>2</v>
      </c>
      <c r="DX34">
        <v>5</v>
      </c>
      <c r="DY34">
        <v>1</v>
      </c>
      <c r="DZ34">
        <f t="shared" si="56"/>
        <v>8</v>
      </c>
      <c r="EA34">
        <f t="shared" si="57"/>
        <v>0.9400705052878966</v>
      </c>
      <c r="EB34">
        <f t="shared" si="58"/>
        <v>9.4007050528789656E-3</v>
      </c>
      <c r="EC34">
        <f t="shared" si="59"/>
        <v>8.8373255491224113E-5</v>
      </c>
      <c r="ED34">
        <f t="shared" si="60"/>
        <v>-4.6669705868935383</v>
      </c>
      <c r="EE34">
        <f t="shared" si="61"/>
        <v>-4.3872813977847598E-2</v>
      </c>
      <c r="EF34">
        <f t="shared" si="79"/>
        <v>-1.1738012841808485E-2</v>
      </c>
      <c r="EH34" t="s">
        <v>315</v>
      </c>
      <c r="EI34" t="s">
        <v>384</v>
      </c>
      <c r="EJ34">
        <v>1</v>
      </c>
      <c r="EM34">
        <f t="shared" si="62"/>
        <v>1</v>
      </c>
      <c r="EN34">
        <f t="shared" si="63"/>
        <v>0.13531799729364005</v>
      </c>
      <c r="EO34">
        <f t="shared" si="64"/>
        <v>1.3531799729364006E-3</v>
      </c>
      <c r="EP34">
        <f t="shared" si="65"/>
        <v>1.831096039156158E-6</v>
      </c>
      <c r="EQ34">
        <f t="shared" si="66"/>
        <v>-6.6052979209482015</v>
      </c>
      <c r="ER34">
        <f t="shared" si="67"/>
        <v>-8.9381568619055513E-3</v>
      </c>
      <c r="ES34">
        <f t="shared" si="68"/>
        <v>-2.3619738244065537E-3</v>
      </c>
      <c r="ET34">
        <f t="shared" si="69"/>
        <v>6.5099258980626384</v>
      </c>
      <c r="EV34" t="s">
        <v>303</v>
      </c>
      <c r="EW34" t="s">
        <v>396</v>
      </c>
      <c r="EX34">
        <v>2</v>
      </c>
      <c r="EY34">
        <v>2</v>
      </c>
      <c r="FA34">
        <v>3</v>
      </c>
      <c r="FB34">
        <f t="shared" si="70"/>
        <v>7</v>
      </c>
      <c r="FC34">
        <f t="shared" si="71"/>
        <v>1.1513157894736841</v>
      </c>
      <c r="FD34">
        <f t="shared" si="72"/>
        <v>1.1513157894736841E-2</v>
      </c>
      <c r="FE34">
        <f t="shared" si="73"/>
        <v>1.3255280470914126E-4</v>
      </c>
      <c r="FF34">
        <f t="shared" si="74"/>
        <v>-4.4642647329108538</v>
      </c>
      <c r="FG34">
        <f t="shared" si="75"/>
        <v>-5.1397784753907855E-2</v>
      </c>
      <c r="FH34">
        <f t="shared" si="76"/>
        <v>-1.3502059846920921E-2</v>
      </c>
      <c r="FI34">
        <f t="shared" si="77"/>
        <v>6.8640873002990608</v>
      </c>
    </row>
    <row r="35" spans="12:165" x14ac:dyDescent="0.25">
      <c r="L35" t="s">
        <v>315</v>
      </c>
      <c r="M35" s="1" t="s">
        <v>61</v>
      </c>
      <c r="N35">
        <v>10</v>
      </c>
      <c r="O35">
        <f>N35/N46*100</f>
        <v>1.0582010582010581</v>
      </c>
      <c r="P35">
        <f t="shared" si="6"/>
        <v>1.0582010582010581E-2</v>
      </c>
      <c r="Q35">
        <f t="shared" si="7"/>
        <v>1.1197894795778393E-4</v>
      </c>
      <c r="R35">
        <f t="shared" si="8"/>
        <v>-4.5485998344996972</v>
      </c>
      <c r="S35">
        <f t="shared" si="9"/>
        <v>-4.8133331582007374E-2</v>
      </c>
      <c r="T35">
        <f t="shared" si="10"/>
        <v>-1.2877898931076199E-2</v>
      </c>
      <c r="U35">
        <f t="shared" si="11"/>
        <v>5.9843662715141974</v>
      </c>
      <c r="W35" t="s">
        <v>303</v>
      </c>
      <c r="X35" t="s">
        <v>204</v>
      </c>
      <c r="Y35">
        <v>6</v>
      </c>
      <c r="Z35">
        <v>1</v>
      </c>
      <c r="AA35">
        <v>10</v>
      </c>
      <c r="AB35">
        <v>15</v>
      </c>
      <c r="AC35" s="9">
        <f>SUM(Y35:AB35)</f>
        <v>32</v>
      </c>
      <c r="AD35">
        <f>AC35/AC53*100</f>
        <v>2.9357798165137616</v>
      </c>
      <c r="AE35">
        <f t="shared" si="78"/>
        <v>2.9223744292237442E-2</v>
      </c>
      <c r="AF35">
        <f t="shared" si="12"/>
        <v>8.540272304580805E-4</v>
      </c>
      <c r="AG35">
        <f t="shared" si="13"/>
        <v>-3.5327737394508745</v>
      </c>
      <c r="AH35">
        <f t="shared" si="14"/>
        <v>-0.10324087640404382</v>
      </c>
      <c r="AI35">
        <f t="shared" si="15"/>
        <v>-2.6257745395618974E-2</v>
      </c>
      <c r="AJ35">
        <f t="shared" si="16"/>
        <v>7.1443782399249294</v>
      </c>
      <c r="AL35" t="s">
        <v>315</v>
      </c>
      <c r="AM35" s="1" t="s">
        <v>149</v>
      </c>
      <c r="AN35">
        <v>75</v>
      </c>
      <c r="AO35">
        <f>AN35/AN51*100</f>
        <v>7.1633237822349569</v>
      </c>
      <c r="AP35">
        <v>20</v>
      </c>
      <c r="AQ35">
        <v>20</v>
      </c>
      <c r="AR35">
        <v>35</v>
      </c>
      <c r="AU35">
        <f t="shared" si="17"/>
        <v>7.15648854961832E-2</v>
      </c>
      <c r="AV35">
        <f t="shared" si="18"/>
        <v>5.121532836081813E-3</v>
      </c>
      <c r="AW35">
        <f t="shared" si="19"/>
        <v>-2.6371507513446772</v>
      </c>
      <c r="AX35">
        <f t="shared" si="20"/>
        <v>-0.18872739155615531</v>
      </c>
      <c r="AY35">
        <f t="shared" si="21"/>
        <v>-4.8751638322158355E-2</v>
      </c>
      <c r="AZ35">
        <f t="shared" si="22"/>
        <v>6.7580791631521038</v>
      </c>
      <c r="BC35" t="s">
        <v>303</v>
      </c>
      <c r="BD35" s="27" t="s">
        <v>654</v>
      </c>
      <c r="BE35" s="9">
        <v>6</v>
      </c>
      <c r="BF35">
        <f>BE35/BE59*100</f>
        <v>0.22002200220022</v>
      </c>
      <c r="BG35">
        <f t="shared" si="23"/>
        <v>2.2002200220022001E-3</v>
      </c>
      <c r="BH35">
        <f t="shared" si="24"/>
        <v>4.8409681452193619E-6</v>
      </c>
      <c r="BI35">
        <f t="shared" si="25"/>
        <v>-6.1191979136175334</v>
      </c>
      <c r="BJ35">
        <f t="shared" si="26"/>
        <v>-1.3463581768135386E-2</v>
      </c>
      <c r="BK35">
        <f t="shared" si="27"/>
        <v>-3.3597360503365144E-3</v>
      </c>
      <c r="BL35">
        <f t="shared" si="28"/>
        <v>6.8259753385975239</v>
      </c>
      <c r="BO35" t="s">
        <v>568</v>
      </c>
      <c r="BP35" s="1" t="s">
        <v>229</v>
      </c>
      <c r="BR35">
        <v>2</v>
      </c>
      <c r="BS35">
        <v>1</v>
      </c>
      <c r="BU35">
        <f t="shared" si="29"/>
        <v>3</v>
      </c>
      <c r="BV35">
        <f>BU35/BU67*100</f>
        <v>5.8685446009389672E-2</v>
      </c>
      <c r="BW35">
        <f t="shared" si="30"/>
        <v>5.8685446009389673E-4</v>
      </c>
      <c r="BX35">
        <f t="shared" si="31"/>
        <v>3.4439815733209904E-7</v>
      </c>
      <c r="BY35">
        <f t="shared" si="32"/>
        <v>-7.4407337073892608</v>
      </c>
      <c r="BZ35">
        <f t="shared" si="33"/>
        <v>-4.3666277625523829E-3</v>
      </c>
      <c r="CA35">
        <f t="shared" si="34"/>
        <v>-1.0539429805980511E-3</v>
      </c>
      <c r="CB35">
        <f t="shared" si="35"/>
        <v>7.2605091805186834</v>
      </c>
      <c r="CD35" t="s">
        <v>315</v>
      </c>
      <c r="CE35" t="s">
        <v>236</v>
      </c>
      <c r="CF35">
        <v>1</v>
      </c>
      <c r="CH35">
        <v>1</v>
      </c>
      <c r="CJ35">
        <f t="shared" si="36"/>
        <v>2</v>
      </c>
      <c r="CK35">
        <f>CJ35/CJ56*100</f>
        <v>3.5842293906810034E-2</v>
      </c>
      <c r="CL35">
        <f t="shared" si="37"/>
        <v>3.5842293906810036E-4</v>
      </c>
      <c r="CM35">
        <f t="shared" si="38"/>
        <v>1.2846700325021519E-7</v>
      </c>
      <c r="CN35">
        <f t="shared" si="39"/>
        <v>-7.9337968748154113</v>
      </c>
      <c r="CO35">
        <f t="shared" si="40"/>
        <v>-2.8436547938406492E-3</v>
      </c>
      <c r="CP35">
        <f t="shared" si="41"/>
        <v>-7.1968600176897611E-4</v>
      </c>
      <c r="CQ35">
        <f t="shared" si="42"/>
        <v>5.9117109920543012</v>
      </c>
      <c r="CT35" t="s">
        <v>303</v>
      </c>
      <c r="CU35" t="s">
        <v>246</v>
      </c>
      <c r="CY35">
        <v>5</v>
      </c>
      <c r="CZ35">
        <f t="shared" si="43"/>
        <v>5</v>
      </c>
      <c r="DA35">
        <f>CZ35/CZ72*100</f>
        <v>8.3780160857908847E-2</v>
      </c>
      <c r="DB35">
        <f t="shared" si="81"/>
        <v>8.3780160857908849E-4</v>
      </c>
      <c r="DC35" s="2">
        <f t="shared" si="44"/>
        <v>7.0191153533770814E-7</v>
      </c>
      <c r="DD35">
        <f t="shared" si="45"/>
        <v>-14.169458458898992</v>
      </c>
      <c r="DE35">
        <f t="shared" si="46"/>
        <v>-1.1871195089560149E-2</v>
      </c>
      <c r="DF35">
        <f t="shared" si="47"/>
        <v>-2.8134076103232728E-3</v>
      </c>
      <c r="DG35">
        <f t="shared" si="48"/>
        <v>7.7063160745129649</v>
      </c>
      <c r="DI35" t="s">
        <v>303</v>
      </c>
      <c r="DJ35" t="s">
        <v>561</v>
      </c>
      <c r="DK35">
        <v>1</v>
      </c>
      <c r="DL35">
        <f t="shared" si="49"/>
        <v>7.2463768115942032E-2</v>
      </c>
      <c r="DM35">
        <f t="shared" si="50"/>
        <v>7.246376811594203E-4</v>
      </c>
      <c r="DN35">
        <f t="shared" si="51"/>
        <v>5.2509976895610164E-7</v>
      </c>
      <c r="DO35">
        <f t="shared" si="52"/>
        <v>-7.2298387781512501</v>
      </c>
      <c r="DP35">
        <f t="shared" si="53"/>
        <v>-5.2390136073559787E-3</v>
      </c>
      <c r="DQ35">
        <f t="shared" si="54"/>
        <v>-1.4619745834559778E-3</v>
      </c>
      <c r="DR35">
        <f t="shared" si="55"/>
        <v>5.2558124663256702</v>
      </c>
      <c r="DT35" t="s">
        <v>303</v>
      </c>
      <c r="DU35" t="s">
        <v>288</v>
      </c>
      <c r="DV35">
        <v>2</v>
      </c>
      <c r="DY35">
        <v>1</v>
      </c>
      <c r="DZ35">
        <f t="shared" si="56"/>
        <v>3</v>
      </c>
      <c r="EA35">
        <f t="shared" si="57"/>
        <v>0.35252643948296125</v>
      </c>
      <c r="EB35">
        <f t="shared" si="58"/>
        <v>3.5252643948296123E-3</v>
      </c>
      <c r="EC35">
        <f t="shared" si="59"/>
        <v>1.2427489053453392E-5</v>
      </c>
      <c r="ED35">
        <f t="shared" si="60"/>
        <v>-5.6477998399052645</v>
      </c>
      <c r="EE35">
        <f t="shared" si="61"/>
        <v>-1.9909987684742413E-2</v>
      </c>
      <c r="EF35">
        <f t="shared" si="79"/>
        <v>-5.3268452587006991E-3</v>
      </c>
      <c r="EH35" t="s">
        <v>315</v>
      </c>
      <c r="EI35" t="s">
        <v>385</v>
      </c>
      <c r="EJ35">
        <v>1</v>
      </c>
      <c r="EK35">
        <v>3</v>
      </c>
      <c r="EL35">
        <v>2</v>
      </c>
      <c r="EM35">
        <f t="shared" si="62"/>
        <v>6</v>
      </c>
      <c r="EN35">
        <f t="shared" si="63"/>
        <v>0.81190798376184026</v>
      </c>
      <c r="EO35">
        <f t="shared" si="64"/>
        <v>8.119079837618403E-3</v>
      </c>
      <c r="EP35">
        <f t="shared" si="65"/>
        <v>6.5919457409621671E-5</v>
      </c>
      <c r="EQ35">
        <f t="shared" si="66"/>
        <v>-4.8135384517201469</v>
      </c>
      <c r="ER35">
        <f t="shared" si="67"/>
        <v>-3.9081502990961949E-2</v>
      </c>
      <c r="ES35">
        <f t="shared" si="68"/>
        <v>-1.0327575193554931E-2</v>
      </c>
      <c r="ET35">
        <f t="shared" si="69"/>
        <v>6.5099258980626384</v>
      </c>
      <c r="EV35" t="s">
        <v>305</v>
      </c>
      <c r="EW35" t="s">
        <v>336</v>
      </c>
      <c r="FA35">
        <v>1</v>
      </c>
      <c r="FB35">
        <f t="shared" si="70"/>
        <v>1</v>
      </c>
      <c r="FC35">
        <f t="shared" si="71"/>
        <v>0.1644736842105263</v>
      </c>
      <c r="FD35">
        <f t="shared" si="72"/>
        <v>1.6447368421052631E-3</v>
      </c>
      <c r="FE35">
        <f t="shared" si="73"/>
        <v>2.7051592797783929E-6</v>
      </c>
      <c r="FF35">
        <f t="shared" si="74"/>
        <v>-6.4101748819661672</v>
      </c>
      <c r="FG35">
        <f t="shared" si="75"/>
        <v>-1.0543050792707511E-2</v>
      </c>
      <c r="FH35">
        <f t="shared" si="76"/>
        <v>-2.7696310931268407E-3</v>
      </c>
      <c r="FI35">
        <f t="shared" si="77"/>
        <v>6.8640873002990608</v>
      </c>
    </row>
    <row r="36" spans="12:165" x14ac:dyDescent="0.25">
      <c r="L36" t="s">
        <v>303</v>
      </c>
      <c r="M36" s="1" t="s">
        <v>62</v>
      </c>
      <c r="N36">
        <v>15</v>
      </c>
      <c r="O36">
        <f>N36/N46*100</f>
        <v>1.5873015873015872</v>
      </c>
      <c r="P36">
        <f t="shared" si="6"/>
        <v>1.5873015873015872E-2</v>
      </c>
      <c r="Q36">
        <f t="shared" si="7"/>
        <v>2.5195263290501383E-4</v>
      </c>
      <c r="R36">
        <f t="shared" si="8"/>
        <v>-4.1431347263915326</v>
      </c>
      <c r="S36">
        <f t="shared" si="9"/>
        <v>-6.5764043276056075E-2</v>
      </c>
      <c r="T36">
        <f t="shared" si="10"/>
        <v>-1.7594932134815087E-2</v>
      </c>
      <c r="U36">
        <f t="shared" si="11"/>
        <v>5.9843662715141974</v>
      </c>
      <c r="W36" t="s">
        <v>303</v>
      </c>
      <c r="X36" t="s">
        <v>205</v>
      </c>
      <c r="Y36">
        <v>2</v>
      </c>
      <c r="AC36" s="9">
        <f t="shared" ref="AC36:AC50" si="84">SUM(Y36:AA36)</f>
        <v>2</v>
      </c>
      <c r="AD36">
        <f>AC36/AC53*100</f>
        <v>0.1834862385321101</v>
      </c>
      <c r="AE36">
        <f t="shared" si="78"/>
        <v>1.8264840182648401E-3</v>
      </c>
      <c r="AF36">
        <f t="shared" si="12"/>
        <v>3.336043868976877E-6</v>
      </c>
      <c r="AG36">
        <f t="shared" si="13"/>
        <v>-6.3053624616906561</v>
      </c>
      <c r="AH36">
        <f t="shared" si="14"/>
        <v>-1.1516643765645034E-2</v>
      </c>
      <c r="AI36">
        <f t="shared" si="15"/>
        <v>-2.929083037099297E-3</v>
      </c>
      <c r="AJ36">
        <f t="shared" si="16"/>
        <v>7.1443782399249294</v>
      </c>
      <c r="AL36" t="s">
        <v>315</v>
      </c>
      <c r="AM36" s="1" t="s">
        <v>35</v>
      </c>
      <c r="AN36">
        <v>5</v>
      </c>
      <c r="AO36">
        <f>AN36/AN51*100</f>
        <v>0.47755491881566381</v>
      </c>
      <c r="AP36">
        <v>5</v>
      </c>
      <c r="AU36">
        <f t="shared" si="17"/>
        <v>4.7709923664122139E-3</v>
      </c>
      <c r="AV36">
        <f t="shared" si="18"/>
        <v>2.2762368160363618E-5</v>
      </c>
      <c r="AW36">
        <f t="shared" si="19"/>
        <v>-5.3452009524468869</v>
      </c>
      <c r="AX36">
        <f t="shared" si="20"/>
        <v>-2.5501912941063392E-2</v>
      </c>
      <c r="AY36">
        <f t="shared" si="21"/>
        <v>-6.5875972002504132E-3</v>
      </c>
      <c r="AZ36">
        <f t="shared" si="22"/>
        <v>6.7580791631521038</v>
      </c>
      <c r="BC36" t="s">
        <v>303</v>
      </c>
      <c r="BD36" s="27" t="s">
        <v>655</v>
      </c>
      <c r="BE36" s="9">
        <v>1</v>
      </c>
      <c r="BF36">
        <f>BE36/BE59*100</f>
        <v>3.6670333700036667E-2</v>
      </c>
      <c r="BG36">
        <f t="shared" si="23"/>
        <v>3.667033370003667E-4</v>
      </c>
      <c r="BH36">
        <f t="shared" si="24"/>
        <v>1.344713373672045E-7</v>
      </c>
      <c r="BI36">
        <f t="shared" si="25"/>
        <v>-7.9109573828455888</v>
      </c>
      <c r="BJ36">
        <f t="shared" si="26"/>
        <v>-2.9009744711571651E-3</v>
      </c>
      <c r="BK36">
        <f t="shared" si="27"/>
        <v>-7.2391646440770696E-4</v>
      </c>
      <c r="BL36">
        <f t="shared" si="28"/>
        <v>6.8259753385975239</v>
      </c>
      <c r="BO36" t="s">
        <v>568</v>
      </c>
      <c r="BP36" s="1" t="s">
        <v>222</v>
      </c>
      <c r="BR36">
        <v>2</v>
      </c>
      <c r="BS36">
        <v>3</v>
      </c>
      <c r="BU36">
        <f t="shared" si="29"/>
        <v>5</v>
      </c>
      <c r="BV36">
        <f>BU36/BU67*100</f>
        <v>9.7809076682316115E-2</v>
      </c>
      <c r="BW36">
        <f t="shared" si="30"/>
        <v>9.7809076682316121E-4</v>
      </c>
      <c r="BX36">
        <f t="shared" si="31"/>
        <v>9.5666154814471954E-7</v>
      </c>
      <c r="BY36">
        <f t="shared" si="32"/>
        <v>-6.9299080836232703</v>
      </c>
      <c r="BZ36">
        <f t="shared" si="33"/>
        <v>-6.7780791115251079E-3</v>
      </c>
      <c r="CA36">
        <f t="shared" si="34"/>
        <v>-1.6359784460662429E-3</v>
      </c>
      <c r="CB36">
        <f t="shared" si="35"/>
        <v>7.2605091805186834</v>
      </c>
      <c r="CD36" t="s">
        <v>303</v>
      </c>
      <c r="CE36" t="s">
        <v>235</v>
      </c>
      <c r="CF36">
        <v>2</v>
      </c>
      <c r="CG36">
        <v>7</v>
      </c>
      <c r="CI36">
        <v>3</v>
      </c>
      <c r="CJ36">
        <f t="shared" si="36"/>
        <v>12</v>
      </c>
      <c r="CK36">
        <f>CJ36/CJ56*100</f>
        <v>0.21505376344086022</v>
      </c>
      <c r="CL36">
        <f t="shared" si="37"/>
        <v>2.1505376344086021E-3</v>
      </c>
      <c r="CM36">
        <f t="shared" si="38"/>
        <v>4.6248121170077469E-6</v>
      </c>
      <c r="CN36">
        <f t="shared" si="39"/>
        <v>-6.1420374055873559</v>
      </c>
      <c r="CO36">
        <f t="shared" si="40"/>
        <v>-1.320868259266098E-2</v>
      </c>
      <c r="CP36">
        <f t="shared" si="41"/>
        <v>-3.3429177072891751E-3</v>
      </c>
      <c r="CQ36">
        <f t="shared" si="42"/>
        <v>5.9117109920543012</v>
      </c>
      <c r="CT36" t="s">
        <v>304</v>
      </c>
      <c r="CU36" s="1" t="s">
        <v>262</v>
      </c>
      <c r="CW36">
        <v>4</v>
      </c>
      <c r="CZ36">
        <f t="shared" si="43"/>
        <v>4</v>
      </c>
      <c r="DA36">
        <f>CZ36/CZ72*100</f>
        <v>6.7024128686327081E-2</v>
      </c>
      <c r="DB36">
        <f t="shared" si="81"/>
        <v>6.7024128686327079E-4</v>
      </c>
      <c r="DC36" s="2">
        <f t="shared" si="44"/>
        <v>4.4922338261613323E-7</v>
      </c>
      <c r="DD36">
        <f t="shared" si="45"/>
        <v>-14.615745561527412</v>
      </c>
      <c r="DE36">
        <f t="shared" si="46"/>
        <v>-9.7960761136242705E-3</v>
      </c>
      <c r="DF36">
        <f t="shared" si="47"/>
        <v>-2.3216158846225922E-3</v>
      </c>
      <c r="DG36">
        <f t="shared" si="48"/>
        <v>7.7063160745129649</v>
      </c>
      <c r="DI36" t="s">
        <v>303</v>
      </c>
      <c r="DJ36" t="s">
        <v>157</v>
      </c>
      <c r="DK36">
        <v>2</v>
      </c>
      <c r="DL36">
        <f t="shared" si="49"/>
        <v>0.14492753623188406</v>
      </c>
      <c r="DM36">
        <f t="shared" si="50"/>
        <v>1.4492753623188406E-3</v>
      </c>
      <c r="DN36">
        <f t="shared" si="51"/>
        <v>2.1003990758244065E-6</v>
      </c>
      <c r="DO36">
        <f t="shared" si="52"/>
        <v>-6.5366915975913047</v>
      </c>
      <c r="DP36">
        <f t="shared" si="53"/>
        <v>-9.4734660834656596E-3</v>
      </c>
      <c r="DQ36">
        <f t="shared" si="54"/>
        <v>-2.6436210457275048E-3</v>
      </c>
      <c r="DR36">
        <f t="shared" si="55"/>
        <v>5.2558124663256702</v>
      </c>
      <c r="DT36" t="s">
        <v>303</v>
      </c>
      <c r="DU36" t="s">
        <v>289</v>
      </c>
      <c r="DX36">
        <v>7</v>
      </c>
      <c r="DZ36">
        <f t="shared" si="56"/>
        <v>7</v>
      </c>
      <c r="EA36">
        <f t="shared" si="57"/>
        <v>0.82256169212690955</v>
      </c>
      <c r="EB36">
        <f t="shared" si="58"/>
        <v>8.2256169212690956E-3</v>
      </c>
      <c r="EC36">
        <f t="shared" si="59"/>
        <v>6.7660773735468476E-5</v>
      </c>
      <c r="ED36">
        <f t="shared" si="60"/>
        <v>-4.800501979518061</v>
      </c>
      <c r="EE36">
        <f t="shared" si="61"/>
        <v>-3.9487090313309554E-2</v>
      </c>
      <c r="EF36">
        <f t="shared" si="79"/>
        <v>-1.05646283235288E-2</v>
      </c>
      <c r="EH36" t="s">
        <v>303</v>
      </c>
      <c r="EI36" t="s">
        <v>386</v>
      </c>
      <c r="EK36">
        <v>5</v>
      </c>
      <c r="EL36">
        <v>3</v>
      </c>
      <c r="EM36">
        <f t="shared" si="62"/>
        <v>8</v>
      </c>
      <c r="EN36">
        <f t="shared" si="63"/>
        <v>1.0825439783491204</v>
      </c>
      <c r="EO36">
        <f t="shared" si="64"/>
        <v>1.0825439783491205E-2</v>
      </c>
      <c r="EP36">
        <f t="shared" si="65"/>
        <v>1.1719014650599411E-4</v>
      </c>
      <c r="EQ36">
        <f t="shared" si="66"/>
        <v>-4.5258563792683661</v>
      </c>
      <c r="ER36">
        <f t="shared" si="67"/>
        <v>-4.8994385702499234E-2</v>
      </c>
      <c r="ES36">
        <f t="shared" si="68"/>
        <v>-1.2947127507394234E-2</v>
      </c>
      <c r="ET36">
        <f t="shared" si="69"/>
        <v>6.5099258980626384</v>
      </c>
      <c r="EV36" t="s">
        <v>568</v>
      </c>
      <c r="EW36" t="s">
        <v>218</v>
      </c>
      <c r="EX36">
        <v>3</v>
      </c>
      <c r="EZ36">
        <v>1</v>
      </c>
      <c r="FB36">
        <f t="shared" si="70"/>
        <v>4</v>
      </c>
      <c r="FC36">
        <f t="shared" si="71"/>
        <v>0.6578947368421052</v>
      </c>
      <c r="FD36">
        <f t="shared" si="72"/>
        <v>6.5789473684210523E-3</v>
      </c>
      <c r="FE36">
        <f t="shared" si="73"/>
        <v>4.3282548476454287E-5</v>
      </c>
      <c r="FF36">
        <f t="shared" si="74"/>
        <v>-5.0238805208462765</v>
      </c>
      <c r="FG36">
        <f t="shared" si="75"/>
        <v>-3.3051845531883395E-2</v>
      </c>
      <c r="FH36">
        <f t="shared" si="76"/>
        <v>-8.6826309452713319E-3</v>
      </c>
      <c r="FI36">
        <f t="shared" si="77"/>
        <v>6.8640873002990608</v>
      </c>
    </row>
    <row r="37" spans="12:165" x14ac:dyDescent="0.25">
      <c r="L37" t="s">
        <v>315</v>
      </c>
      <c r="M37" s="1" t="s">
        <v>63</v>
      </c>
      <c r="N37">
        <v>25</v>
      </c>
      <c r="O37">
        <f>N37/N46*100</f>
        <v>2.6455026455026456</v>
      </c>
      <c r="P37">
        <f t="shared" si="6"/>
        <v>2.6455026455026454E-2</v>
      </c>
      <c r="Q37">
        <f t="shared" si="7"/>
        <v>6.9986842473614955E-4</v>
      </c>
      <c r="R37">
        <f t="shared" si="8"/>
        <v>-3.6323091026255421</v>
      </c>
      <c r="S37">
        <f t="shared" si="9"/>
        <v>-9.6092833402792108E-2</v>
      </c>
      <c r="T37">
        <f t="shared" si="10"/>
        <v>-2.5709290337685192E-2</v>
      </c>
      <c r="U37">
        <f t="shared" si="11"/>
        <v>5.9843662715141974</v>
      </c>
      <c r="W37" t="s">
        <v>315</v>
      </c>
      <c r="X37" s="1" t="s">
        <v>206</v>
      </c>
      <c r="Y37">
        <v>7</v>
      </c>
      <c r="AC37" s="9">
        <f t="shared" si="84"/>
        <v>7</v>
      </c>
      <c r="AD37">
        <f>AC37/AC53*100</f>
        <v>0.64220183486238536</v>
      </c>
      <c r="AE37">
        <f t="shared" si="78"/>
        <v>6.392694063926941E-3</v>
      </c>
      <c r="AF37">
        <f t="shared" si="12"/>
        <v>4.0866537394966747E-5</v>
      </c>
      <c r="AG37">
        <f t="shared" si="13"/>
        <v>-5.052599493195288</v>
      </c>
      <c r="AH37">
        <f t="shared" si="14"/>
        <v>-3.2299722787549785E-2</v>
      </c>
      <c r="AI37">
        <f t="shared" si="15"/>
        <v>-8.2149428292855407E-3</v>
      </c>
      <c r="AJ37">
        <f t="shared" si="16"/>
        <v>7.1443782399249294</v>
      </c>
      <c r="AL37" t="s">
        <v>305</v>
      </c>
      <c r="AM37" s="2" t="s">
        <v>150</v>
      </c>
      <c r="AN37">
        <v>4</v>
      </c>
      <c r="AO37">
        <f>AN37/AN51*100</f>
        <v>0.38204393505253104</v>
      </c>
      <c r="AP37">
        <v>1</v>
      </c>
      <c r="AQ37">
        <v>3</v>
      </c>
      <c r="AU37">
        <f t="shared" si="17"/>
        <v>3.8167938931297708E-3</v>
      </c>
      <c r="AV37">
        <f t="shared" si="18"/>
        <v>1.4567915622632712E-5</v>
      </c>
      <c r="AW37">
        <f t="shared" si="19"/>
        <v>-5.5683445037610966</v>
      </c>
      <c r="AX37">
        <f t="shared" si="20"/>
        <v>-2.1253223296798077E-2</v>
      </c>
      <c r="AY37">
        <f t="shared" si="21"/>
        <v>-5.4900851794863724E-3</v>
      </c>
      <c r="AZ37">
        <f t="shared" si="22"/>
        <v>6.7580791631521038</v>
      </c>
      <c r="BC37" t="s">
        <v>315</v>
      </c>
      <c r="BD37" s="26" t="s">
        <v>95</v>
      </c>
      <c r="BE37" s="9">
        <v>152</v>
      </c>
      <c r="BF37" s="20">
        <f>BE37/BE59*100</f>
        <v>5.573890722405574</v>
      </c>
      <c r="BG37">
        <f t="shared" si="23"/>
        <v>5.5738907224055737E-2</v>
      </c>
      <c r="BH37">
        <f t="shared" si="24"/>
        <v>3.1068257785318927E-3</v>
      </c>
      <c r="BI37">
        <f t="shared" si="25"/>
        <v>-2.8870768619993123</v>
      </c>
      <c r="BJ37">
        <f t="shared" si="26"/>
        <v>-0.16092250935969762</v>
      </c>
      <c r="BK37">
        <f t="shared" si="27"/>
        <v>-4.0157007646061824E-2</v>
      </c>
      <c r="BL37">
        <f t="shared" si="28"/>
        <v>6.8259753385975239</v>
      </c>
      <c r="BO37" t="s">
        <v>303</v>
      </c>
      <c r="BP37" t="s">
        <v>242</v>
      </c>
      <c r="BR37">
        <v>1</v>
      </c>
      <c r="BS37">
        <v>3</v>
      </c>
      <c r="BU37">
        <f t="shared" si="29"/>
        <v>4</v>
      </c>
      <c r="BV37">
        <f>BU37/BU67*100</f>
        <v>7.82472613458529E-2</v>
      </c>
      <c r="BW37">
        <f t="shared" si="30"/>
        <v>7.8247261345852897E-4</v>
      </c>
      <c r="BX37">
        <f t="shared" si="31"/>
        <v>6.1226339081262045E-7</v>
      </c>
      <c r="BY37">
        <f t="shared" si="32"/>
        <v>-7.15305163493748</v>
      </c>
      <c r="BZ37">
        <f t="shared" si="33"/>
        <v>-5.5970670069933337E-3</v>
      </c>
      <c r="CA37">
        <f t="shared" si="34"/>
        <v>-1.3509256581352123E-3</v>
      </c>
      <c r="CB37">
        <f t="shared" si="35"/>
        <v>7.2605091805186834</v>
      </c>
      <c r="CD37" t="s">
        <v>303</v>
      </c>
      <c r="CE37" t="s">
        <v>234</v>
      </c>
      <c r="CF37">
        <v>5</v>
      </c>
      <c r="CG37">
        <v>12</v>
      </c>
      <c r="CH37">
        <v>3</v>
      </c>
      <c r="CI37">
        <v>10</v>
      </c>
      <c r="CJ37">
        <f t="shared" si="36"/>
        <v>30</v>
      </c>
      <c r="CK37">
        <f>CJ37/CJ56*100</f>
        <v>0.53763440860215062</v>
      </c>
      <c r="CL37">
        <f t="shared" si="37"/>
        <v>5.3763440860215058E-3</v>
      </c>
      <c r="CM37">
        <f t="shared" si="38"/>
        <v>2.8905075731298421E-5</v>
      </c>
      <c r="CN37">
        <f t="shared" si="39"/>
        <v>-5.2257466737132008</v>
      </c>
      <c r="CO37">
        <f t="shared" si="40"/>
        <v>-2.8095412224264524E-2</v>
      </c>
      <c r="CP37">
        <f t="shared" si="41"/>
        <v>-7.1105237300703172E-3</v>
      </c>
      <c r="CQ37">
        <f t="shared" si="42"/>
        <v>5.9117109920543012</v>
      </c>
      <c r="CT37" t="s">
        <v>304</v>
      </c>
      <c r="CU37" t="s">
        <v>249</v>
      </c>
      <c r="CX37">
        <v>20</v>
      </c>
      <c r="CY37">
        <v>6</v>
      </c>
      <c r="CZ37">
        <f t="shared" si="43"/>
        <v>26</v>
      </c>
      <c r="DA37">
        <f>CZ37/CZ72*100</f>
        <v>0.43565683646112602</v>
      </c>
      <c r="DB37">
        <f t="shared" si="81"/>
        <v>4.3565683646112604E-3</v>
      </c>
      <c r="DC37" s="2">
        <f t="shared" si="44"/>
        <v>1.8979687915531633E-5</v>
      </c>
      <c r="DD37">
        <f t="shared" si="45"/>
        <v>-10.87214120772423</v>
      </c>
      <c r="DE37">
        <f t="shared" si="46"/>
        <v>-4.7365226441157843E-2</v>
      </c>
      <c r="DF37">
        <f t="shared" si="47"/>
        <v>-1.1225296823858031E-2</v>
      </c>
      <c r="DG37">
        <f t="shared" si="48"/>
        <v>7.7063160745129649</v>
      </c>
      <c r="DI37" t="s">
        <v>568</v>
      </c>
      <c r="DJ37" t="s">
        <v>562</v>
      </c>
      <c r="DK37">
        <v>1</v>
      </c>
      <c r="DL37">
        <f t="shared" si="49"/>
        <v>7.2463768115942032E-2</v>
      </c>
      <c r="DM37">
        <f t="shared" si="50"/>
        <v>7.246376811594203E-4</v>
      </c>
      <c r="DN37">
        <f t="shared" si="51"/>
        <v>5.2509976895610164E-7</v>
      </c>
      <c r="DO37">
        <f t="shared" si="52"/>
        <v>-7.2298387781512501</v>
      </c>
      <c r="DP37">
        <f t="shared" si="53"/>
        <v>-5.2390136073559787E-3</v>
      </c>
      <c r="DQ37">
        <f t="shared" si="54"/>
        <v>-1.4619745834559778E-3</v>
      </c>
      <c r="DR37">
        <f t="shared" si="55"/>
        <v>5.2558124663256702</v>
      </c>
      <c r="DT37" t="s">
        <v>303</v>
      </c>
      <c r="DU37" t="s">
        <v>290</v>
      </c>
      <c r="DV37">
        <v>3</v>
      </c>
      <c r="DW37">
        <v>2</v>
      </c>
      <c r="DZ37">
        <f t="shared" si="56"/>
        <v>5</v>
      </c>
      <c r="EA37">
        <f t="shared" si="57"/>
        <v>0.58754406580493534</v>
      </c>
      <c r="EB37">
        <f t="shared" si="58"/>
        <v>5.8754406580493537E-3</v>
      </c>
      <c r="EC37">
        <f t="shared" si="59"/>
        <v>3.4520802926259424E-5</v>
      </c>
      <c r="ED37">
        <f t="shared" si="60"/>
        <v>-5.136974216139274</v>
      </c>
      <c r="EE37">
        <f t="shared" si="61"/>
        <v>-3.0181987168855898E-2</v>
      </c>
      <c r="EF37">
        <f t="shared" si="79"/>
        <v>-8.0750816019736493E-3</v>
      </c>
      <c r="EH37" t="s">
        <v>303</v>
      </c>
      <c r="EI37" t="s">
        <v>323</v>
      </c>
      <c r="EK37">
        <v>1</v>
      </c>
      <c r="EM37">
        <f t="shared" si="62"/>
        <v>1</v>
      </c>
      <c r="EN37">
        <f t="shared" si="63"/>
        <v>0.13531799729364005</v>
      </c>
      <c r="EO37">
        <f t="shared" si="64"/>
        <v>1.3531799729364006E-3</v>
      </c>
      <c r="EP37">
        <f t="shared" si="65"/>
        <v>1.831096039156158E-6</v>
      </c>
      <c r="EQ37">
        <f t="shared" si="66"/>
        <v>-6.6052979209482015</v>
      </c>
      <c r="ER37">
        <f t="shared" si="67"/>
        <v>-8.9381568619055513E-3</v>
      </c>
      <c r="ES37">
        <f t="shared" si="68"/>
        <v>-2.3619738244065537E-3</v>
      </c>
      <c r="ET37">
        <f t="shared" si="69"/>
        <v>6.5099258980626384</v>
      </c>
      <c r="EV37" t="s">
        <v>303</v>
      </c>
      <c r="EW37" t="s">
        <v>158</v>
      </c>
      <c r="EY37">
        <v>1</v>
      </c>
      <c r="FB37">
        <f t="shared" si="70"/>
        <v>1</v>
      </c>
      <c r="FC37">
        <f t="shared" si="71"/>
        <v>0.1644736842105263</v>
      </c>
      <c r="FD37">
        <f t="shared" si="72"/>
        <v>1.6447368421052631E-3</v>
      </c>
      <c r="FE37">
        <f t="shared" si="73"/>
        <v>2.7051592797783929E-6</v>
      </c>
      <c r="FF37">
        <f t="shared" si="74"/>
        <v>-6.4101748819661672</v>
      </c>
      <c r="FG37">
        <f t="shared" si="75"/>
        <v>-1.0543050792707511E-2</v>
      </c>
      <c r="FH37">
        <f t="shared" si="76"/>
        <v>-2.7696310931268407E-3</v>
      </c>
      <c r="FI37">
        <f t="shared" si="77"/>
        <v>6.8640873002990608</v>
      </c>
    </row>
    <row r="38" spans="12:165" x14ac:dyDescent="0.25">
      <c r="L38" t="s">
        <v>303</v>
      </c>
      <c r="M38" s="1" t="s">
        <v>64</v>
      </c>
      <c r="N38">
        <v>1</v>
      </c>
      <c r="O38">
        <f>N38/N46*100</f>
        <v>0.10582010582010583</v>
      </c>
      <c r="P38">
        <f t="shared" si="6"/>
        <v>1.0582010582010583E-3</v>
      </c>
      <c r="Q38">
        <f t="shared" si="7"/>
        <v>1.1197894795778394E-6</v>
      </c>
      <c r="R38">
        <f t="shared" si="8"/>
        <v>-6.8511849274937431</v>
      </c>
      <c r="S38">
        <f t="shared" si="9"/>
        <v>-7.2499311402050197E-3</v>
      </c>
      <c r="T38">
        <f t="shared" si="10"/>
        <v>-1.9396928783488247E-3</v>
      </c>
      <c r="U38">
        <f t="shared" si="11"/>
        <v>5.9843662715141974</v>
      </c>
      <c r="W38" t="s">
        <v>315</v>
      </c>
      <c r="X38" s="1" t="s">
        <v>207</v>
      </c>
      <c r="Y38">
        <v>1</v>
      </c>
      <c r="AC38" s="9">
        <f t="shared" si="84"/>
        <v>1</v>
      </c>
      <c r="AD38">
        <f>AC38/AC53*100</f>
        <v>9.1743119266055051E-2</v>
      </c>
      <c r="AE38">
        <f t="shared" si="78"/>
        <v>9.1324200913242006E-4</v>
      </c>
      <c r="AF38">
        <f t="shared" si="12"/>
        <v>8.3401096724421924E-7</v>
      </c>
      <c r="AG38">
        <f t="shared" si="13"/>
        <v>-6.9985096422506015</v>
      </c>
      <c r="AH38">
        <f t="shared" si="14"/>
        <v>-6.3913330066215539E-3</v>
      </c>
      <c r="AI38">
        <f t="shared" si="15"/>
        <v>-1.6255382622837875E-3</v>
      </c>
      <c r="AJ38">
        <f t="shared" si="16"/>
        <v>7.1443782399249294</v>
      </c>
      <c r="AL38" t="s">
        <v>315</v>
      </c>
      <c r="AM38" s="1" t="s">
        <v>42</v>
      </c>
      <c r="AN38">
        <v>1</v>
      </c>
      <c r="AO38">
        <f>AN38/AN51*100</f>
        <v>9.5510983763132759E-2</v>
      </c>
      <c r="AP38">
        <v>1</v>
      </c>
      <c r="AU38">
        <f t="shared" si="17"/>
        <v>9.5419847328244271E-4</v>
      </c>
      <c r="AV38">
        <f t="shared" si="18"/>
        <v>9.1049472641454453E-7</v>
      </c>
      <c r="AW38">
        <f t="shared" si="19"/>
        <v>-6.9546388648809874</v>
      </c>
      <c r="AX38">
        <f t="shared" si="20"/>
        <v>-6.6361057871001782E-3</v>
      </c>
      <c r="AY38">
        <f t="shared" si="21"/>
        <v>-1.7142240272209088E-3</v>
      </c>
      <c r="AZ38">
        <f t="shared" si="22"/>
        <v>6.7580791631521038</v>
      </c>
      <c r="BC38" t="s">
        <v>315</v>
      </c>
      <c r="BD38" s="27" t="s">
        <v>656</v>
      </c>
      <c r="BE38" s="9">
        <v>1001</v>
      </c>
      <c r="BF38" s="15">
        <f>BE38/BE59*100</f>
        <v>36.707004033736709</v>
      </c>
      <c r="BG38">
        <f t="shared" si="23"/>
        <v>0.36707004033736707</v>
      </c>
      <c r="BH38">
        <f t="shared" si="24"/>
        <v>0.13474041451327629</v>
      </c>
      <c r="BI38">
        <f t="shared" si="25"/>
        <v>-1.0022026035303679</v>
      </c>
      <c r="BJ38">
        <f t="shared" si="26"/>
        <v>-0.36787855010410647</v>
      </c>
      <c r="BK38">
        <f t="shared" si="27"/>
        <v>-9.1801338471127231E-2</v>
      </c>
      <c r="BL38">
        <f t="shared" si="28"/>
        <v>6.8259753385975239</v>
      </c>
      <c r="BO38" t="s">
        <v>303</v>
      </c>
      <c r="BP38" t="s">
        <v>70</v>
      </c>
      <c r="BR38">
        <v>1</v>
      </c>
      <c r="BS38">
        <v>1</v>
      </c>
      <c r="BU38">
        <f t="shared" si="29"/>
        <v>2</v>
      </c>
      <c r="BV38">
        <f>BU38/BU67*100</f>
        <v>3.912363067292645E-2</v>
      </c>
      <c r="BW38">
        <f t="shared" si="30"/>
        <v>3.9123630672926448E-4</v>
      </c>
      <c r="BX38">
        <f t="shared" si="31"/>
        <v>1.5306584770315511E-7</v>
      </c>
      <c r="BY38">
        <f t="shared" si="32"/>
        <v>-7.8461988154974254</v>
      </c>
      <c r="BZ38">
        <f t="shared" si="33"/>
        <v>-3.0697178464387425E-3</v>
      </c>
      <c r="CA38">
        <f t="shared" si="34"/>
        <v>-7.4091673314044418E-4</v>
      </c>
      <c r="CB38">
        <f t="shared" si="35"/>
        <v>7.2605091805186834</v>
      </c>
      <c r="CD38" t="s">
        <v>305</v>
      </c>
      <c r="CE38" t="s">
        <v>264</v>
      </c>
      <c r="CF38">
        <v>2</v>
      </c>
      <c r="CG38">
        <v>1</v>
      </c>
      <c r="CJ38">
        <f t="shared" si="36"/>
        <v>3</v>
      </c>
      <c r="CK38">
        <f>CJ38/CJ56*100</f>
        <v>5.3763440860215055E-2</v>
      </c>
      <c r="CL38">
        <f t="shared" si="37"/>
        <v>5.3763440860215054E-4</v>
      </c>
      <c r="CM38">
        <f t="shared" si="38"/>
        <v>2.8905075731298418E-7</v>
      </c>
      <c r="CN38">
        <f t="shared" si="39"/>
        <v>-7.5283317667072467</v>
      </c>
      <c r="CO38">
        <f t="shared" si="40"/>
        <v>-4.0474901971544333E-3</v>
      </c>
      <c r="CP38">
        <f t="shared" si="41"/>
        <v>-1.0243585274480513E-3</v>
      </c>
      <c r="CQ38">
        <f t="shared" si="42"/>
        <v>5.9117109920543012</v>
      </c>
      <c r="CT38" t="s">
        <v>568</v>
      </c>
      <c r="CU38" s="1" t="s">
        <v>261</v>
      </c>
      <c r="CW38">
        <v>4</v>
      </c>
      <c r="CX38">
        <v>1</v>
      </c>
      <c r="CZ38">
        <f t="shared" si="43"/>
        <v>5</v>
      </c>
      <c r="DA38">
        <f>CZ38/CZ72*100</f>
        <v>8.3780160857908847E-2</v>
      </c>
      <c r="DB38">
        <f t="shared" si="81"/>
        <v>8.3780160857908849E-4</v>
      </c>
      <c r="DC38" s="2">
        <f t="shared" si="44"/>
        <v>7.0191153533770814E-7</v>
      </c>
      <c r="DD38">
        <f t="shared" si="45"/>
        <v>-14.169458458898992</v>
      </c>
      <c r="DE38">
        <f t="shared" si="46"/>
        <v>-1.1871195089560149E-2</v>
      </c>
      <c r="DF38">
        <f t="shared" si="47"/>
        <v>-2.8134076103232728E-3</v>
      </c>
      <c r="DG38">
        <f t="shared" si="48"/>
        <v>7.7063160745129649</v>
      </c>
      <c r="DI38" t="s">
        <v>305</v>
      </c>
      <c r="DJ38" t="s">
        <v>301</v>
      </c>
      <c r="DK38">
        <v>2</v>
      </c>
      <c r="DL38">
        <f t="shared" si="49"/>
        <v>0.14492753623188406</v>
      </c>
      <c r="DM38">
        <f t="shared" si="50"/>
        <v>1.4492753623188406E-3</v>
      </c>
      <c r="DN38">
        <f t="shared" si="51"/>
        <v>2.1003990758244065E-6</v>
      </c>
      <c r="DO38">
        <f t="shared" si="52"/>
        <v>-6.5366915975913047</v>
      </c>
      <c r="DP38">
        <f t="shared" si="53"/>
        <v>-9.4734660834656596E-3</v>
      </c>
      <c r="DQ38">
        <f t="shared" si="54"/>
        <v>-2.6436210457275048E-3</v>
      </c>
      <c r="DR38">
        <f t="shared" si="55"/>
        <v>5.2558124663256702</v>
      </c>
      <c r="DT38" t="s">
        <v>568</v>
      </c>
      <c r="DU38" t="s">
        <v>67</v>
      </c>
      <c r="DX38">
        <v>1</v>
      </c>
      <c r="DZ38">
        <f t="shared" si="56"/>
        <v>1</v>
      </c>
      <c r="EA38">
        <f t="shared" si="57"/>
        <v>0.11750881316098707</v>
      </c>
      <c r="EB38">
        <f t="shared" si="58"/>
        <v>1.1750881316098707E-3</v>
      </c>
      <c r="EC38">
        <f t="shared" si="59"/>
        <v>1.3808321170503768E-6</v>
      </c>
      <c r="ED38">
        <f t="shared" si="60"/>
        <v>-6.7464121285733745</v>
      </c>
      <c r="EE38">
        <f t="shared" si="61"/>
        <v>-7.927628823235458E-3</v>
      </c>
      <c r="EF38">
        <f t="shared" si="79"/>
        <v>-2.121008444528184E-3</v>
      </c>
      <c r="EH38" t="s">
        <v>568</v>
      </c>
      <c r="EI38" t="s">
        <v>387</v>
      </c>
      <c r="EJ38">
        <v>1</v>
      </c>
      <c r="EM38">
        <f t="shared" si="62"/>
        <v>1</v>
      </c>
      <c r="EN38">
        <f t="shared" si="63"/>
        <v>0.13531799729364005</v>
      </c>
      <c r="EO38">
        <f t="shared" si="64"/>
        <v>1.3531799729364006E-3</v>
      </c>
      <c r="EP38">
        <f t="shared" si="65"/>
        <v>1.831096039156158E-6</v>
      </c>
      <c r="EQ38">
        <f t="shared" si="66"/>
        <v>-6.6052979209482015</v>
      </c>
      <c r="ER38">
        <f t="shared" si="67"/>
        <v>-8.9381568619055513E-3</v>
      </c>
      <c r="ES38">
        <f t="shared" si="68"/>
        <v>-2.3619738244065537E-3</v>
      </c>
      <c r="ET38">
        <f t="shared" si="69"/>
        <v>6.5099258980626384</v>
      </c>
      <c r="EV38" t="s">
        <v>315</v>
      </c>
      <c r="EW38" t="s">
        <v>391</v>
      </c>
      <c r="EX38">
        <v>3</v>
      </c>
      <c r="EY38">
        <v>1</v>
      </c>
      <c r="FB38">
        <f t="shared" si="70"/>
        <v>4</v>
      </c>
      <c r="FC38">
        <f t="shared" si="71"/>
        <v>0.6578947368421052</v>
      </c>
      <c r="FD38">
        <f t="shared" si="72"/>
        <v>6.5789473684210523E-3</v>
      </c>
      <c r="FE38">
        <f t="shared" si="73"/>
        <v>4.3282548476454287E-5</v>
      </c>
      <c r="FF38">
        <f t="shared" si="74"/>
        <v>-5.0238805208462765</v>
      </c>
      <c r="FG38">
        <f t="shared" si="75"/>
        <v>-3.3051845531883395E-2</v>
      </c>
      <c r="FH38">
        <f t="shared" si="76"/>
        <v>-8.6826309452713319E-3</v>
      </c>
      <c r="FI38">
        <f t="shared" si="77"/>
        <v>6.8640873002990608</v>
      </c>
    </row>
    <row r="39" spans="12:165" x14ac:dyDescent="0.25">
      <c r="L39" t="s">
        <v>303</v>
      </c>
      <c r="M39" s="1" t="s">
        <v>65</v>
      </c>
      <c r="N39">
        <v>17</v>
      </c>
      <c r="O39">
        <f>N39/N46*100</f>
        <v>1.7989417989417988</v>
      </c>
      <c r="P39">
        <f t="shared" si="6"/>
        <v>1.7989417989417989E-2</v>
      </c>
      <c r="Q39">
        <f t="shared" si="7"/>
        <v>3.2361915959799555E-4</v>
      </c>
      <c r="R39">
        <f t="shared" si="8"/>
        <v>-4.0179715834375269</v>
      </c>
      <c r="S39">
        <f t="shared" si="9"/>
        <v>-7.228097028406133E-2</v>
      </c>
      <c r="T39">
        <f t="shared" si="10"/>
        <v>-1.9338512406363629E-2</v>
      </c>
      <c r="U39">
        <f t="shared" si="11"/>
        <v>5.9843662715141974</v>
      </c>
      <c r="W39" t="s">
        <v>303</v>
      </c>
      <c r="X39" t="s">
        <v>208</v>
      </c>
      <c r="Y39">
        <v>1</v>
      </c>
      <c r="AC39" s="9">
        <f t="shared" si="84"/>
        <v>1</v>
      </c>
      <c r="AD39">
        <f>AC39/AC53*100</f>
        <v>9.1743119266055051E-2</v>
      </c>
      <c r="AE39">
        <f t="shared" si="78"/>
        <v>9.1324200913242006E-4</v>
      </c>
      <c r="AF39">
        <f t="shared" si="12"/>
        <v>8.3401096724421924E-7</v>
      </c>
      <c r="AG39">
        <f t="shared" si="13"/>
        <v>-6.9985096422506015</v>
      </c>
      <c r="AH39">
        <f t="shared" si="14"/>
        <v>-6.3913330066215539E-3</v>
      </c>
      <c r="AI39">
        <f t="shared" si="15"/>
        <v>-1.6255382622837875E-3</v>
      </c>
      <c r="AJ39">
        <f t="shared" si="16"/>
        <v>7.1443782399249294</v>
      </c>
      <c r="AL39" t="s">
        <v>568</v>
      </c>
      <c r="AM39" s="1" t="s">
        <v>160</v>
      </c>
      <c r="AN39">
        <v>2</v>
      </c>
      <c r="AO39">
        <f>AN39/AN51*100</f>
        <v>0.19102196752626552</v>
      </c>
      <c r="AP39">
        <v>2</v>
      </c>
      <c r="AU39">
        <f t="shared" si="17"/>
        <v>1.9083969465648854E-3</v>
      </c>
      <c r="AV39">
        <f t="shared" si="18"/>
        <v>3.6419789056581781E-6</v>
      </c>
      <c r="AW39">
        <f t="shared" si="19"/>
        <v>-6.261491684321042</v>
      </c>
      <c r="AX39">
        <f t="shared" si="20"/>
        <v>-1.1949411611299698E-2</v>
      </c>
      <c r="AY39">
        <f t="shared" si="21"/>
        <v>-3.0867453220925021E-3</v>
      </c>
      <c r="AZ39">
        <f t="shared" si="22"/>
        <v>6.7580791631521038</v>
      </c>
      <c r="BC39" t="s">
        <v>315</v>
      </c>
      <c r="BD39" s="26" t="s">
        <v>42</v>
      </c>
      <c r="BE39" s="9">
        <v>1</v>
      </c>
      <c r="BF39">
        <f>BE39/BE59*100</f>
        <v>3.6670333700036667E-2</v>
      </c>
      <c r="BG39">
        <f t="shared" si="23"/>
        <v>3.667033370003667E-4</v>
      </c>
      <c r="BH39">
        <f t="shared" si="24"/>
        <v>1.344713373672045E-7</v>
      </c>
      <c r="BI39">
        <f t="shared" si="25"/>
        <v>-7.9109573828455888</v>
      </c>
      <c r="BJ39">
        <f t="shared" si="26"/>
        <v>-2.9009744711571651E-3</v>
      </c>
      <c r="BK39">
        <f t="shared" si="27"/>
        <v>-7.2391646440770696E-4</v>
      </c>
      <c r="BL39">
        <f t="shared" si="28"/>
        <v>6.8259753385975239</v>
      </c>
      <c r="BO39" t="s">
        <v>303</v>
      </c>
      <c r="BP39" t="s">
        <v>211</v>
      </c>
      <c r="BR39">
        <v>2</v>
      </c>
      <c r="BS39">
        <v>1</v>
      </c>
      <c r="BU39">
        <f t="shared" si="29"/>
        <v>3</v>
      </c>
      <c r="BV39">
        <f>BU39/BU67*100</f>
        <v>5.8685446009389672E-2</v>
      </c>
      <c r="BW39">
        <f t="shared" si="30"/>
        <v>5.8685446009389673E-4</v>
      </c>
      <c r="BX39">
        <f t="shared" si="31"/>
        <v>3.4439815733209904E-7</v>
      </c>
      <c r="BY39">
        <f t="shared" si="32"/>
        <v>-7.4407337073892608</v>
      </c>
      <c r="BZ39">
        <f t="shared" si="33"/>
        <v>-4.3666277625523829E-3</v>
      </c>
      <c r="CA39">
        <f t="shared" si="34"/>
        <v>-1.0539429805980511E-3</v>
      </c>
      <c r="CB39">
        <f t="shared" si="35"/>
        <v>7.2605091805186834</v>
      </c>
      <c r="CD39" t="s">
        <v>303</v>
      </c>
      <c r="CE39" t="s">
        <v>200</v>
      </c>
      <c r="CG39">
        <v>2</v>
      </c>
      <c r="CH39">
        <v>1</v>
      </c>
      <c r="CJ39">
        <f t="shared" si="36"/>
        <v>3</v>
      </c>
      <c r="CK39">
        <f>CJ39/CJ56*100</f>
        <v>5.3763440860215055E-2</v>
      </c>
      <c r="CL39">
        <f t="shared" si="37"/>
        <v>5.3763440860215054E-4</v>
      </c>
      <c r="CM39">
        <f t="shared" si="38"/>
        <v>2.8905075731298418E-7</v>
      </c>
      <c r="CN39">
        <f t="shared" si="39"/>
        <v>-7.5283317667072467</v>
      </c>
      <c r="CO39">
        <f t="shared" si="40"/>
        <v>-4.0474901971544333E-3</v>
      </c>
      <c r="CP39">
        <f t="shared" si="41"/>
        <v>-1.0243585274480513E-3</v>
      </c>
      <c r="CQ39">
        <f t="shared" si="42"/>
        <v>5.9117109920543012</v>
      </c>
      <c r="CT39" t="s">
        <v>303</v>
      </c>
      <c r="CU39" t="s">
        <v>260</v>
      </c>
      <c r="CV39">
        <v>4</v>
      </c>
      <c r="CW39">
        <v>15</v>
      </c>
      <c r="CX39">
        <v>2</v>
      </c>
      <c r="CY39">
        <v>10</v>
      </c>
      <c r="CZ39">
        <f t="shared" si="43"/>
        <v>31</v>
      </c>
      <c r="DA39">
        <f>CZ39/CZ72*100</f>
        <v>0.51943699731903481</v>
      </c>
      <c r="DB39">
        <f t="shared" si="81"/>
        <v>5.1943699731903485E-3</v>
      </c>
      <c r="DC39" s="2">
        <f t="shared" si="44"/>
        <v>2.6981479418381501E-5</v>
      </c>
      <c r="DD39">
        <f t="shared" si="45"/>
        <v>-10.520359874796901</v>
      </c>
      <c r="DE39">
        <f t="shared" si="46"/>
        <v>-5.4646641440801592E-2</v>
      </c>
      <c r="DF39">
        <f t="shared" si="47"/>
        <v>-1.2950951925923984E-2</v>
      </c>
      <c r="DG39">
        <f t="shared" si="48"/>
        <v>7.7063160745129649</v>
      </c>
      <c r="DI39" t="s">
        <v>315</v>
      </c>
      <c r="DJ39" t="s">
        <v>563</v>
      </c>
      <c r="DK39">
        <v>2</v>
      </c>
      <c r="DL39">
        <f t="shared" si="49"/>
        <v>0.14492753623188406</v>
      </c>
      <c r="DM39">
        <f t="shared" si="50"/>
        <v>1.4492753623188406E-3</v>
      </c>
      <c r="DN39">
        <f t="shared" si="51"/>
        <v>2.1003990758244065E-6</v>
      </c>
      <c r="DO39">
        <f t="shared" si="52"/>
        <v>-6.5366915975913047</v>
      </c>
      <c r="DP39">
        <f t="shared" si="53"/>
        <v>-9.4734660834656596E-3</v>
      </c>
      <c r="DQ39">
        <f t="shared" si="54"/>
        <v>-2.6436210457275048E-3</v>
      </c>
      <c r="DR39">
        <f t="shared" si="55"/>
        <v>5.2558124663256702</v>
      </c>
      <c r="DT39" t="s">
        <v>315</v>
      </c>
      <c r="DU39" t="s">
        <v>368</v>
      </c>
      <c r="DX39">
        <v>10</v>
      </c>
      <c r="DZ39">
        <f t="shared" si="56"/>
        <v>10</v>
      </c>
      <c r="EA39">
        <f t="shared" si="57"/>
        <v>1.1750881316098707</v>
      </c>
      <c r="EB39">
        <f t="shared" si="58"/>
        <v>1.1750881316098707E-2</v>
      </c>
      <c r="EC39">
        <f t="shared" si="59"/>
        <v>1.380832117050377E-4</v>
      </c>
      <c r="ED39">
        <f t="shared" si="60"/>
        <v>-4.4438270355793286</v>
      </c>
      <c r="EE39">
        <f t="shared" si="61"/>
        <v>-5.221888408436344E-2</v>
      </c>
      <c r="EF39">
        <f t="shared" si="79"/>
        <v>-1.3970973739606887E-2</v>
      </c>
      <c r="EH39" t="s">
        <v>305</v>
      </c>
      <c r="EI39" t="s">
        <v>336</v>
      </c>
      <c r="EK39">
        <v>1</v>
      </c>
      <c r="EM39">
        <f t="shared" si="62"/>
        <v>1</v>
      </c>
      <c r="EN39">
        <f t="shared" si="63"/>
        <v>0.13531799729364005</v>
      </c>
      <c r="EO39">
        <f t="shared" si="64"/>
        <v>1.3531799729364006E-3</v>
      </c>
      <c r="EP39">
        <f t="shared" si="65"/>
        <v>1.831096039156158E-6</v>
      </c>
      <c r="EQ39">
        <f t="shared" si="66"/>
        <v>-6.6052979209482015</v>
      </c>
      <c r="ER39">
        <f t="shared" si="67"/>
        <v>-8.9381568619055513E-3</v>
      </c>
      <c r="ES39">
        <f t="shared" si="68"/>
        <v>-2.3619738244065537E-3</v>
      </c>
      <c r="ET39">
        <f t="shared" si="69"/>
        <v>6.5099258980626384</v>
      </c>
      <c r="EV39" t="s">
        <v>303</v>
      </c>
      <c r="EW39" t="s">
        <v>200</v>
      </c>
      <c r="EX39">
        <v>3</v>
      </c>
      <c r="FA39">
        <v>1</v>
      </c>
      <c r="FB39">
        <f t="shared" si="70"/>
        <v>4</v>
      </c>
      <c r="FC39">
        <f t="shared" si="71"/>
        <v>0.6578947368421052</v>
      </c>
      <c r="FD39">
        <f t="shared" si="72"/>
        <v>6.5789473684210523E-3</v>
      </c>
      <c r="FE39">
        <f t="shared" si="73"/>
        <v>4.3282548476454287E-5</v>
      </c>
      <c r="FF39">
        <f t="shared" si="74"/>
        <v>-5.0238805208462765</v>
      </c>
      <c r="FG39">
        <f t="shared" si="75"/>
        <v>-3.3051845531883395E-2</v>
      </c>
      <c r="FH39">
        <f t="shared" si="76"/>
        <v>-8.6826309452713319E-3</v>
      </c>
      <c r="FI39">
        <f t="shared" si="77"/>
        <v>6.8640873002990608</v>
      </c>
    </row>
    <row r="40" spans="12:165" x14ac:dyDescent="0.25">
      <c r="L40" t="s">
        <v>303</v>
      </c>
      <c r="M40" s="1" t="s">
        <v>66</v>
      </c>
      <c r="N40">
        <v>8</v>
      </c>
      <c r="O40">
        <f>N40/N46*100</f>
        <v>0.84656084656084662</v>
      </c>
      <c r="P40">
        <f t="shared" si="6"/>
        <v>8.4656084656084662E-3</v>
      </c>
      <c r="Q40">
        <f t="shared" si="7"/>
        <v>7.1666526692981724E-5</v>
      </c>
      <c r="R40">
        <f t="shared" si="8"/>
        <v>-4.7717433858139069</v>
      </c>
      <c r="S40">
        <f t="shared" si="9"/>
        <v>-4.0395711202657412E-2</v>
      </c>
      <c r="T40">
        <f t="shared" si="10"/>
        <v>-1.0807726559098688E-2</v>
      </c>
      <c r="U40">
        <f t="shared" si="11"/>
        <v>5.9843662715141974</v>
      </c>
      <c r="W40" t="s">
        <v>315</v>
      </c>
      <c r="X40" s="2" t="s">
        <v>209</v>
      </c>
      <c r="Y40" s="2">
        <v>45</v>
      </c>
      <c r="AC40" s="9">
        <f t="shared" si="84"/>
        <v>45</v>
      </c>
      <c r="AD40">
        <f>AC40/AC53*100</f>
        <v>4.1284403669724776</v>
      </c>
      <c r="AE40">
        <f t="shared" si="78"/>
        <v>4.1095890410958902E-2</v>
      </c>
      <c r="AF40">
        <f t="shared" si="12"/>
        <v>1.6888722086695438E-3</v>
      </c>
      <c r="AG40">
        <f t="shared" si="13"/>
        <v>-3.1918471524802814</v>
      </c>
      <c r="AH40">
        <f t="shared" si="14"/>
        <v>-0.13117180078686086</v>
      </c>
      <c r="AI40">
        <f t="shared" si="15"/>
        <v>-3.3361550851880764E-2</v>
      </c>
      <c r="AJ40">
        <f t="shared" si="16"/>
        <v>7.1443782399249294</v>
      </c>
      <c r="AL40" t="s">
        <v>571</v>
      </c>
      <c r="AM40" s="2" t="s">
        <v>151</v>
      </c>
      <c r="AN40" s="8">
        <v>3</v>
      </c>
      <c r="AO40">
        <f>AN40/AN51*100</f>
        <v>0.28653295128939826</v>
      </c>
      <c r="AP40">
        <v>2</v>
      </c>
      <c r="AU40">
        <f t="shared" si="17"/>
        <v>2.8625954198473282E-3</v>
      </c>
      <c r="AV40">
        <f t="shared" si="18"/>
        <v>8.1944525377309007E-6</v>
      </c>
      <c r="AW40">
        <f t="shared" si="19"/>
        <v>-5.8560265762128774</v>
      </c>
      <c r="AX40">
        <f t="shared" si="20"/>
        <v>-1.6763434855571215E-2</v>
      </c>
      <c r="AY40">
        <f t="shared" si="21"/>
        <v>-4.3302930559112919E-3</v>
      </c>
      <c r="AZ40">
        <f t="shared" si="22"/>
        <v>6.7580791631521038</v>
      </c>
      <c r="BC40" t="s">
        <v>303</v>
      </c>
      <c r="BD40" s="27" t="s">
        <v>657</v>
      </c>
      <c r="BE40" s="9">
        <v>1</v>
      </c>
      <c r="BF40">
        <f>BE40/BE59*100</f>
        <v>3.6670333700036667E-2</v>
      </c>
      <c r="BG40">
        <f t="shared" si="23"/>
        <v>3.667033370003667E-4</v>
      </c>
      <c r="BH40">
        <f t="shared" si="24"/>
        <v>1.344713373672045E-7</v>
      </c>
      <c r="BI40">
        <f t="shared" si="25"/>
        <v>-7.9109573828455888</v>
      </c>
      <c r="BJ40">
        <f t="shared" si="26"/>
        <v>-2.9009744711571651E-3</v>
      </c>
      <c r="BK40">
        <f t="shared" si="27"/>
        <v>-7.2391646440770696E-4</v>
      </c>
      <c r="BL40">
        <f t="shared" si="28"/>
        <v>6.8259753385975239</v>
      </c>
      <c r="BO40" t="s">
        <v>315</v>
      </c>
      <c r="BP40" t="s">
        <v>241</v>
      </c>
      <c r="BR40">
        <v>1</v>
      </c>
      <c r="BU40">
        <f t="shared" si="29"/>
        <v>1</v>
      </c>
      <c r="BV40">
        <f>BU40/BU67*100</f>
        <v>1.9561815336463225E-2</v>
      </c>
      <c r="BW40">
        <f t="shared" si="30"/>
        <v>1.9561815336463224E-4</v>
      </c>
      <c r="BX40">
        <f t="shared" si="31"/>
        <v>3.8266461925788778E-8</v>
      </c>
      <c r="BY40">
        <f t="shared" si="32"/>
        <v>-8.5393459960573708</v>
      </c>
      <c r="BZ40">
        <f t="shared" si="33"/>
        <v>-1.670451094690409E-3</v>
      </c>
      <c r="CA40">
        <f t="shared" si="34"/>
        <v>-4.0318531860664115E-4</v>
      </c>
      <c r="CB40">
        <f t="shared" si="35"/>
        <v>7.2605091805186834</v>
      </c>
      <c r="CD40" t="s">
        <v>303</v>
      </c>
      <c r="CE40" t="s">
        <v>246</v>
      </c>
      <c r="CH40">
        <v>5</v>
      </c>
      <c r="CJ40">
        <f t="shared" si="36"/>
        <v>5</v>
      </c>
      <c r="CK40">
        <f>CJ40/CJ56*100</f>
        <v>8.9605734767025089E-2</v>
      </c>
      <c r="CL40">
        <f t="shared" si="37"/>
        <v>8.960573476702509E-4</v>
      </c>
      <c r="CM40">
        <f t="shared" si="38"/>
        <v>8.0291877031384485E-7</v>
      </c>
      <c r="CN40">
        <f t="shared" si="39"/>
        <v>-7.0175061429412562</v>
      </c>
      <c r="CO40">
        <f t="shared" si="40"/>
        <v>-6.2880879417036347E-3</v>
      </c>
      <c r="CP40">
        <f t="shared" si="41"/>
        <v>-1.591419914730337E-3</v>
      </c>
      <c r="CQ40">
        <f t="shared" si="42"/>
        <v>5.9117109920543012</v>
      </c>
      <c r="CT40" t="s">
        <v>305</v>
      </c>
      <c r="CU40" s="1" t="s">
        <v>253</v>
      </c>
      <c r="CV40">
        <v>1</v>
      </c>
      <c r="CW40">
        <v>5</v>
      </c>
      <c r="CZ40">
        <f t="shared" si="43"/>
        <v>6</v>
      </c>
      <c r="DA40">
        <f>CZ40/CZ72*100</f>
        <v>0.10053619302949061</v>
      </c>
      <c r="DB40">
        <f t="shared" si="81"/>
        <v>1.0053619302949062E-3</v>
      </c>
      <c r="DC40" s="2">
        <f t="shared" si="44"/>
        <v>1.0107526108862999E-6</v>
      </c>
      <c r="DD40">
        <f t="shared" si="45"/>
        <v>-13.804815345311084</v>
      </c>
      <c r="DE40">
        <f t="shared" si="46"/>
        <v>-1.3878835802926693E-2</v>
      </c>
      <c r="DF40">
        <f t="shared" si="47"/>
        <v>-3.2892073608258624E-3</v>
      </c>
      <c r="DG40">
        <f t="shared" si="48"/>
        <v>7.7063160745129649</v>
      </c>
      <c r="DK40">
        <f>SUM(DK4:DK39)</f>
        <v>780</v>
      </c>
      <c r="DP40" s="3">
        <f>SUM(DP4:DP39)</f>
        <v>-1.1900497183916816</v>
      </c>
      <c r="DQ40" s="3">
        <f>SUM(DQ4:DQ39)</f>
        <v>-0.33208969697935847</v>
      </c>
      <c r="DR40" s="3">
        <f t="shared" si="55"/>
        <v>5.2558124663256702</v>
      </c>
      <c r="DT40" t="s">
        <v>321</v>
      </c>
      <c r="DU40" t="s">
        <v>276</v>
      </c>
      <c r="DW40">
        <v>1</v>
      </c>
      <c r="DX40">
        <v>10</v>
      </c>
      <c r="DZ40">
        <f t="shared" si="56"/>
        <v>11</v>
      </c>
      <c r="EA40">
        <f t="shared" si="57"/>
        <v>1.2925969447708578</v>
      </c>
      <c r="EB40">
        <f t="shared" si="58"/>
        <v>1.2925969447708578E-2</v>
      </c>
      <c r="EC40">
        <f t="shared" si="59"/>
        <v>1.6708068616309559E-4</v>
      </c>
      <c r="ED40">
        <f t="shared" si="60"/>
        <v>-4.3485168557750038</v>
      </c>
      <c r="EE40">
        <f t="shared" si="61"/>
        <v>-5.6208796020593463E-2</v>
      </c>
      <c r="EF40">
        <f t="shared" si="79"/>
        <v>-1.5038460260275482E-2</v>
      </c>
      <c r="EH40" t="s">
        <v>568</v>
      </c>
      <c r="EI40" t="s">
        <v>388</v>
      </c>
      <c r="EK40">
        <v>4</v>
      </c>
      <c r="EM40">
        <f t="shared" si="62"/>
        <v>4</v>
      </c>
      <c r="EN40">
        <f t="shared" si="63"/>
        <v>0.54127198917456021</v>
      </c>
      <c r="EO40">
        <f t="shared" si="64"/>
        <v>5.4127198917456026E-3</v>
      </c>
      <c r="EP40">
        <f t="shared" si="65"/>
        <v>2.9297536626498528E-5</v>
      </c>
      <c r="EQ40">
        <f t="shared" si="66"/>
        <v>-5.2190035598283107</v>
      </c>
      <c r="ER40">
        <f t="shared" si="67"/>
        <v>-2.824900438337381E-2</v>
      </c>
      <c r="ES40">
        <f t="shared" si="68"/>
        <v>-7.4650076016734819E-3</v>
      </c>
      <c r="ET40">
        <f t="shared" si="69"/>
        <v>6.5099258980626384</v>
      </c>
      <c r="EV40" t="s">
        <v>303</v>
      </c>
      <c r="EW40" t="s">
        <v>393</v>
      </c>
      <c r="EX40">
        <v>3</v>
      </c>
      <c r="FB40">
        <f t="shared" si="70"/>
        <v>3</v>
      </c>
      <c r="FC40">
        <f t="shared" si="71"/>
        <v>0.49342105263157893</v>
      </c>
      <c r="FD40">
        <f t="shared" si="72"/>
        <v>4.9342105263157892E-3</v>
      </c>
      <c r="FE40">
        <f t="shared" si="73"/>
        <v>2.4346433518005538E-5</v>
      </c>
      <c r="FF40">
        <f t="shared" si="74"/>
        <v>-5.3115625932980572</v>
      </c>
      <c r="FG40">
        <f t="shared" si="75"/>
        <v>-2.6208368059036466E-2</v>
      </c>
      <c r="FH40">
        <f t="shared" si="76"/>
        <v>-6.8848678151704973E-3</v>
      </c>
      <c r="FI40">
        <f t="shared" si="77"/>
        <v>6.8640873002990608</v>
      </c>
    </row>
    <row r="41" spans="12:165" x14ac:dyDescent="0.25">
      <c r="L41" t="s">
        <v>568</v>
      </c>
      <c r="M41" s="1" t="s">
        <v>67</v>
      </c>
      <c r="N41">
        <v>1</v>
      </c>
      <c r="O41">
        <f>N41/N46*100</f>
        <v>0.10582010582010583</v>
      </c>
      <c r="P41">
        <f t="shared" si="6"/>
        <v>1.0582010582010583E-3</v>
      </c>
      <c r="Q41">
        <f t="shared" si="7"/>
        <v>1.1197894795778394E-6</v>
      </c>
      <c r="R41">
        <f t="shared" si="8"/>
        <v>-6.8511849274937431</v>
      </c>
      <c r="S41">
        <f t="shared" si="9"/>
        <v>-7.2499311402050197E-3</v>
      </c>
      <c r="T41">
        <f t="shared" si="10"/>
        <v>-1.9396928783488247E-3</v>
      </c>
      <c r="U41">
        <f t="shared" si="11"/>
        <v>5.9843662715141974</v>
      </c>
      <c r="W41" t="s">
        <v>315</v>
      </c>
      <c r="X41" s="2" t="s">
        <v>84</v>
      </c>
      <c r="Y41" s="2"/>
      <c r="Z41">
        <v>4</v>
      </c>
      <c r="AC41" s="9">
        <f t="shared" si="84"/>
        <v>4</v>
      </c>
      <c r="AD41">
        <f>AC41/AC53*100</f>
        <v>0.3669724770642202</v>
      </c>
      <c r="AE41">
        <f t="shared" si="78"/>
        <v>3.6529680365296802E-3</v>
      </c>
      <c r="AF41">
        <f t="shared" si="12"/>
        <v>1.3344175475907508E-5</v>
      </c>
      <c r="AG41">
        <f t="shared" si="13"/>
        <v>-5.6122152811307107</v>
      </c>
      <c r="AH41">
        <f t="shared" si="14"/>
        <v>-2.0501243036093918E-2</v>
      </c>
      <c r="AI41">
        <f t="shared" si="15"/>
        <v>-5.214179099262038E-3</v>
      </c>
      <c r="AJ41">
        <f t="shared" si="16"/>
        <v>7.1443782399249294</v>
      </c>
      <c r="AL41" t="s">
        <v>303</v>
      </c>
      <c r="AM41" s="1" t="s">
        <v>152</v>
      </c>
      <c r="AN41">
        <v>1</v>
      </c>
      <c r="AO41">
        <f>AN41/AN51*100</f>
        <v>9.5510983763132759E-2</v>
      </c>
      <c r="AP41">
        <v>1</v>
      </c>
      <c r="AU41">
        <f t="shared" si="17"/>
        <v>9.5419847328244271E-4</v>
      </c>
      <c r="AV41">
        <f t="shared" si="18"/>
        <v>9.1049472641454453E-7</v>
      </c>
      <c r="AW41">
        <f t="shared" si="19"/>
        <v>-6.9546388648809874</v>
      </c>
      <c r="AX41">
        <f t="shared" si="20"/>
        <v>-6.6361057871001782E-3</v>
      </c>
      <c r="AY41">
        <f t="shared" si="21"/>
        <v>-1.7142240272209088E-3</v>
      </c>
      <c r="AZ41">
        <f t="shared" si="22"/>
        <v>6.7580791631521038</v>
      </c>
      <c r="BC41" t="s">
        <v>315</v>
      </c>
      <c r="BD41" s="27" t="s">
        <v>658</v>
      </c>
      <c r="BE41" s="9">
        <v>1</v>
      </c>
      <c r="BF41">
        <f>BE41/BE59*100</f>
        <v>3.6670333700036667E-2</v>
      </c>
      <c r="BG41">
        <f t="shared" si="23"/>
        <v>3.667033370003667E-4</v>
      </c>
      <c r="BH41">
        <f t="shared" si="24"/>
        <v>1.344713373672045E-7</v>
      </c>
      <c r="BI41">
        <f t="shared" si="25"/>
        <v>-7.9109573828455888</v>
      </c>
      <c r="BJ41">
        <f t="shared" si="26"/>
        <v>-2.9009744711571651E-3</v>
      </c>
      <c r="BK41">
        <f t="shared" si="27"/>
        <v>-7.2391646440770696E-4</v>
      </c>
      <c r="BL41">
        <f t="shared" si="28"/>
        <v>6.8259753385975239</v>
      </c>
      <c r="BO41" t="s">
        <v>315</v>
      </c>
      <c r="BP41" t="s">
        <v>240</v>
      </c>
      <c r="BR41">
        <v>61</v>
      </c>
      <c r="BS41">
        <v>25</v>
      </c>
      <c r="BT41">
        <v>6</v>
      </c>
      <c r="BU41">
        <f t="shared" si="29"/>
        <v>92</v>
      </c>
      <c r="BV41">
        <f>BU41/BU67*100</f>
        <v>1.7996870109546166</v>
      </c>
      <c r="BW41">
        <f t="shared" si="30"/>
        <v>1.7996870109546165E-2</v>
      </c>
      <c r="BX41">
        <f t="shared" si="31"/>
        <v>3.238873337398762E-4</v>
      </c>
      <c r="BY41">
        <f t="shared" si="32"/>
        <v>-4.0175574190083303</v>
      </c>
      <c r="BZ41">
        <f t="shared" si="33"/>
        <v>-7.230345902753646E-2</v>
      </c>
      <c r="CA41">
        <f t="shared" si="34"/>
        <v>-1.7451389781502284E-2</v>
      </c>
      <c r="CB41">
        <f t="shared" si="35"/>
        <v>7.2605091805186834</v>
      </c>
      <c r="CD41" t="s">
        <v>315</v>
      </c>
      <c r="CE41" s="1" t="s">
        <v>262</v>
      </c>
      <c r="CH41">
        <v>243</v>
      </c>
      <c r="CJ41">
        <f t="shared" si="36"/>
        <v>243</v>
      </c>
      <c r="CK41">
        <f>CJ41/CJ56*100</f>
        <v>4.354838709677419</v>
      </c>
      <c r="CL41">
        <f t="shared" si="37"/>
        <v>4.3548387096774194E-2</v>
      </c>
      <c r="CM41">
        <f t="shared" si="38"/>
        <v>1.8964620187304892E-3</v>
      </c>
      <c r="CN41">
        <f t="shared" si="39"/>
        <v>-3.133882612034808</v>
      </c>
      <c r="CO41">
        <f t="shared" si="40"/>
        <v>-0.13647553310474164</v>
      </c>
      <c r="CP41">
        <f t="shared" si="41"/>
        <v>-3.4539892455365671E-2</v>
      </c>
      <c r="CQ41">
        <f t="shared" si="42"/>
        <v>5.9117109920543012</v>
      </c>
      <c r="CT41" t="s">
        <v>325</v>
      </c>
      <c r="CU41" t="s">
        <v>254</v>
      </c>
      <c r="CV41">
        <v>1</v>
      </c>
      <c r="CW41">
        <v>8</v>
      </c>
      <c r="CX41">
        <v>2</v>
      </c>
      <c r="CY41">
        <v>5</v>
      </c>
      <c r="CZ41">
        <f t="shared" si="43"/>
        <v>16</v>
      </c>
      <c r="DA41">
        <f>CZ41/CZ72*100</f>
        <v>0.26809651474530832</v>
      </c>
      <c r="DB41">
        <f t="shared" si="81"/>
        <v>2.6809651474530832E-3</v>
      </c>
      <c r="DC41" s="2">
        <f t="shared" si="44"/>
        <v>7.1875741218581317E-6</v>
      </c>
      <c r="DD41">
        <f t="shared" si="45"/>
        <v>-11.843156839287632</v>
      </c>
      <c r="DE41">
        <f t="shared" si="46"/>
        <v>-3.1751090721950759E-2</v>
      </c>
      <c r="DF41">
        <f t="shared" si="47"/>
        <v>-7.5248329758946571E-3</v>
      </c>
      <c r="DG41">
        <f t="shared" si="48"/>
        <v>7.7063160745129649</v>
      </c>
      <c r="DP41">
        <f>STDEV(DP4:DP39)</f>
        <v>6.4830293004619344E-2</v>
      </c>
      <c r="DQ41">
        <f t="shared" si="54"/>
        <v>1.8091237724154521E-2</v>
      </c>
      <c r="DR41">
        <f>STDEV(DR4:DR39)</f>
        <v>2.7023319733233995E-15</v>
      </c>
      <c r="DT41" t="s">
        <v>303</v>
      </c>
      <c r="DU41" t="s">
        <v>170</v>
      </c>
      <c r="DX41">
        <v>5</v>
      </c>
      <c r="DY41">
        <v>6</v>
      </c>
      <c r="DZ41">
        <f t="shared" si="56"/>
        <v>11</v>
      </c>
      <c r="EA41">
        <f t="shared" si="57"/>
        <v>1.2925969447708578</v>
      </c>
      <c r="EB41">
        <f t="shared" si="58"/>
        <v>1.2925969447708578E-2</v>
      </c>
      <c r="EC41">
        <f t="shared" si="59"/>
        <v>1.6708068616309559E-4</v>
      </c>
      <c r="ED41">
        <f t="shared" si="60"/>
        <v>-4.3485168557750038</v>
      </c>
      <c r="EE41">
        <f t="shared" si="61"/>
        <v>-5.6208796020593463E-2</v>
      </c>
      <c r="EF41">
        <f t="shared" si="79"/>
        <v>-1.5038460260275482E-2</v>
      </c>
      <c r="EH41" t="s">
        <v>315</v>
      </c>
      <c r="EI41" t="s">
        <v>389</v>
      </c>
      <c r="EK41">
        <v>2</v>
      </c>
      <c r="EM41">
        <f t="shared" si="62"/>
        <v>2</v>
      </c>
      <c r="EN41">
        <f t="shared" si="63"/>
        <v>0.2706359945872801</v>
      </c>
      <c r="EO41">
        <f t="shared" si="64"/>
        <v>2.7063599458728013E-3</v>
      </c>
      <c r="EP41">
        <f t="shared" si="65"/>
        <v>7.324384156624632E-6</v>
      </c>
      <c r="EQ41">
        <f t="shared" si="66"/>
        <v>-5.9121507403882561</v>
      </c>
      <c r="ER41">
        <f t="shared" si="67"/>
        <v>-1.6000407957749003E-2</v>
      </c>
      <c r="ES41">
        <f t="shared" si="68"/>
        <v>-4.2282257248249236E-3</v>
      </c>
      <c r="ET41">
        <f t="shared" si="69"/>
        <v>6.5099258980626384</v>
      </c>
      <c r="EV41" t="s">
        <v>315</v>
      </c>
      <c r="EW41" t="s">
        <v>394</v>
      </c>
      <c r="EX41">
        <v>4</v>
      </c>
      <c r="EY41">
        <v>4</v>
      </c>
      <c r="EZ41">
        <v>1</v>
      </c>
      <c r="FB41">
        <f t="shared" si="70"/>
        <v>9</v>
      </c>
      <c r="FC41">
        <f t="shared" si="71"/>
        <v>1.4802631578947367</v>
      </c>
      <c r="FD41">
        <f t="shared" si="72"/>
        <v>1.4802631578947368E-2</v>
      </c>
      <c r="FE41">
        <f t="shared" si="73"/>
        <v>2.1911790166204983E-4</v>
      </c>
      <c r="FF41">
        <f t="shared" si="74"/>
        <v>-4.2129503046299472</v>
      </c>
      <c r="FG41">
        <f t="shared" si="75"/>
        <v>-6.2362751219851187E-2</v>
      </c>
      <c r="FH41">
        <f t="shared" si="76"/>
        <v>-1.6382527052881415E-2</v>
      </c>
      <c r="FI41">
        <f t="shared" si="77"/>
        <v>6.8640873002990608</v>
      </c>
    </row>
    <row r="42" spans="12:165" x14ac:dyDescent="0.25">
      <c r="L42" t="s">
        <v>303</v>
      </c>
      <c r="M42" s="1" t="s">
        <v>68</v>
      </c>
      <c r="N42">
        <v>1</v>
      </c>
      <c r="O42">
        <f>N42/N46*100</f>
        <v>0.10582010582010583</v>
      </c>
      <c r="P42">
        <f t="shared" si="6"/>
        <v>1.0582010582010583E-3</v>
      </c>
      <c r="Q42">
        <f t="shared" si="7"/>
        <v>1.1197894795778394E-6</v>
      </c>
      <c r="R42">
        <f t="shared" si="8"/>
        <v>-6.8511849274937431</v>
      </c>
      <c r="S42">
        <f t="shared" si="9"/>
        <v>-7.2499311402050197E-3</v>
      </c>
      <c r="T42">
        <f t="shared" si="10"/>
        <v>-1.9396928783488247E-3</v>
      </c>
      <c r="U42">
        <f t="shared" si="11"/>
        <v>5.9843662715141974</v>
      </c>
      <c r="W42" t="s">
        <v>315</v>
      </c>
      <c r="X42" s="2" t="s">
        <v>210</v>
      </c>
      <c r="Y42" s="2">
        <v>3</v>
      </c>
      <c r="AC42" s="9">
        <f t="shared" si="84"/>
        <v>3</v>
      </c>
      <c r="AD42">
        <f>AC42/AC53*100</f>
        <v>0.27522935779816515</v>
      </c>
      <c r="AE42">
        <f t="shared" si="78"/>
        <v>2.7397260273972603E-3</v>
      </c>
      <c r="AF42">
        <f t="shared" si="12"/>
        <v>7.5060987051979735E-6</v>
      </c>
      <c r="AG42">
        <f t="shared" si="13"/>
        <v>-5.8998973535824915</v>
      </c>
      <c r="AH42">
        <f t="shared" si="14"/>
        <v>-1.6164102338582169E-2</v>
      </c>
      <c r="AI42">
        <f t="shared" si="15"/>
        <v>-4.1110933821808908E-3</v>
      </c>
      <c r="AJ42">
        <f t="shared" si="16"/>
        <v>7.1443782399249294</v>
      </c>
      <c r="AL42" t="s">
        <v>315</v>
      </c>
      <c r="AM42" s="1" t="s">
        <v>153</v>
      </c>
      <c r="AN42">
        <v>1</v>
      </c>
      <c r="AO42">
        <f>AN42/AN51*100</f>
        <v>9.5510983763132759E-2</v>
      </c>
      <c r="AP42">
        <v>1</v>
      </c>
      <c r="AU42">
        <f t="shared" si="17"/>
        <v>9.5419847328244271E-4</v>
      </c>
      <c r="AV42">
        <f t="shared" si="18"/>
        <v>9.1049472641454453E-7</v>
      </c>
      <c r="AW42">
        <f t="shared" si="19"/>
        <v>-6.9546388648809874</v>
      </c>
      <c r="AX42">
        <f t="shared" si="20"/>
        <v>-6.6361057871001782E-3</v>
      </c>
      <c r="AY42">
        <f t="shared" si="21"/>
        <v>-1.7142240272209088E-3</v>
      </c>
      <c r="AZ42">
        <f t="shared" si="22"/>
        <v>6.7580791631521038</v>
      </c>
      <c r="BC42" t="s">
        <v>315</v>
      </c>
      <c r="BD42" s="26" t="s">
        <v>97</v>
      </c>
      <c r="BE42" s="9">
        <v>1</v>
      </c>
      <c r="BF42">
        <f>BE42/BE59*100</f>
        <v>3.6670333700036667E-2</v>
      </c>
      <c r="BG42">
        <f t="shared" si="23"/>
        <v>3.667033370003667E-4</v>
      </c>
      <c r="BH42">
        <f t="shared" si="24"/>
        <v>1.344713373672045E-7</v>
      </c>
      <c r="BI42">
        <f t="shared" si="25"/>
        <v>-7.9109573828455888</v>
      </c>
      <c r="BJ42">
        <f t="shared" si="26"/>
        <v>-2.9009744711571651E-3</v>
      </c>
      <c r="BK42">
        <f t="shared" si="27"/>
        <v>-7.2391646440770696E-4</v>
      </c>
      <c r="BL42">
        <f t="shared" si="28"/>
        <v>6.8259753385975239</v>
      </c>
      <c r="BO42" t="s">
        <v>319</v>
      </c>
      <c r="BP42" s="1" t="s">
        <v>27</v>
      </c>
      <c r="BR42">
        <v>1</v>
      </c>
      <c r="BS42">
        <v>10</v>
      </c>
      <c r="BU42">
        <f t="shared" si="29"/>
        <v>11</v>
      </c>
      <c r="BV42">
        <f>BU42/BU67*100</f>
        <v>0.21517996870109546</v>
      </c>
      <c r="BW42">
        <f t="shared" si="30"/>
        <v>2.1517996870109544E-3</v>
      </c>
      <c r="BX42">
        <f t="shared" si="31"/>
        <v>4.6302418930204418E-6</v>
      </c>
      <c r="BY42">
        <f t="shared" si="32"/>
        <v>-6.1414507232590001</v>
      </c>
      <c r="BZ42">
        <f t="shared" si="33"/>
        <v>-1.3215171744101917E-2</v>
      </c>
      <c r="CA42">
        <f t="shared" si="34"/>
        <v>-3.1896553254524948E-3</v>
      </c>
      <c r="CB42">
        <f t="shared" si="35"/>
        <v>7.2605091805186834</v>
      </c>
      <c r="CD42" t="s">
        <v>315</v>
      </c>
      <c r="CE42" t="s">
        <v>249</v>
      </c>
      <c r="CF42">
        <v>289</v>
      </c>
      <c r="CG42">
        <v>28</v>
      </c>
      <c r="CH42">
        <v>10</v>
      </c>
      <c r="CI42">
        <v>14</v>
      </c>
      <c r="CJ42">
        <f t="shared" si="36"/>
        <v>341</v>
      </c>
      <c r="CK42">
        <f>CJ42/CJ56*100</f>
        <v>6.1111111111111107</v>
      </c>
      <c r="CL42">
        <f t="shared" si="37"/>
        <v>6.1111111111111109E-2</v>
      </c>
      <c r="CM42">
        <f t="shared" si="38"/>
        <v>3.7345679012345677E-3</v>
      </c>
      <c r="CN42">
        <f t="shared" si="39"/>
        <v>-2.7950615780918397</v>
      </c>
      <c r="CO42">
        <f t="shared" si="40"/>
        <v>-0.17080931866116797</v>
      </c>
      <c r="CP42">
        <f t="shared" si="41"/>
        <v>-4.3229254084709255E-2</v>
      </c>
      <c r="CQ42">
        <f t="shared" si="42"/>
        <v>5.9117109920543012</v>
      </c>
      <c r="CT42" t="s">
        <v>577</v>
      </c>
      <c r="CU42" s="1" t="s">
        <v>257</v>
      </c>
      <c r="CV42">
        <v>3</v>
      </c>
      <c r="CW42">
        <v>3</v>
      </c>
      <c r="CZ42">
        <f t="shared" si="43"/>
        <v>6</v>
      </c>
      <c r="DA42">
        <f>CZ42/CZ72*100</f>
        <v>0.10053619302949061</v>
      </c>
      <c r="DB42">
        <f t="shared" si="81"/>
        <v>1.0053619302949062E-3</v>
      </c>
      <c r="DC42" s="2">
        <f t="shared" si="44"/>
        <v>1.0107526108862999E-6</v>
      </c>
      <c r="DD42">
        <f t="shared" si="45"/>
        <v>-13.804815345311084</v>
      </c>
      <c r="DE42">
        <f t="shared" si="46"/>
        <v>-1.3878835802926693E-2</v>
      </c>
      <c r="DF42">
        <f t="shared" si="47"/>
        <v>-3.2892073608258624E-3</v>
      </c>
      <c r="DG42">
        <f t="shared" si="48"/>
        <v>7.7063160745129649</v>
      </c>
      <c r="DT42" t="s">
        <v>303</v>
      </c>
      <c r="DU42" t="s">
        <v>243</v>
      </c>
      <c r="DW42">
        <v>2</v>
      </c>
      <c r="DZ42">
        <f t="shared" si="56"/>
        <v>2</v>
      </c>
      <c r="EA42">
        <f t="shared" si="57"/>
        <v>0.23501762632197415</v>
      </c>
      <c r="EB42">
        <f t="shared" si="58"/>
        <v>2.3501762632197414E-3</v>
      </c>
      <c r="EC42">
        <f t="shared" si="59"/>
        <v>5.5233284682015071E-6</v>
      </c>
      <c r="ED42">
        <f t="shared" si="60"/>
        <v>-6.0532649480134291</v>
      </c>
      <c r="EE42">
        <f t="shared" si="61"/>
        <v>-1.4226239595801243E-2</v>
      </c>
      <c r="EF42">
        <f t="shared" si="79"/>
        <v>-3.8061789961882854E-3</v>
      </c>
      <c r="EH42" t="s">
        <v>568</v>
      </c>
      <c r="EI42" t="s">
        <v>218</v>
      </c>
      <c r="EL42">
        <v>1</v>
      </c>
      <c r="EM42">
        <f t="shared" si="62"/>
        <v>1</v>
      </c>
      <c r="EN42">
        <f t="shared" si="63"/>
        <v>0.13531799729364005</v>
      </c>
      <c r="EO42">
        <f t="shared" si="64"/>
        <v>1.3531799729364006E-3</v>
      </c>
      <c r="EP42">
        <f t="shared" si="65"/>
        <v>1.831096039156158E-6</v>
      </c>
      <c r="EQ42">
        <f t="shared" si="66"/>
        <v>-6.6052979209482015</v>
      </c>
      <c r="ER42">
        <f t="shared" si="67"/>
        <v>-8.9381568619055513E-3</v>
      </c>
      <c r="ES42">
        <f t="shared" si="68"/>
        <v>-2.3619738244065537E-3</v>
      </c>
      <c r="ET42">
        <f t="shared" si="69"/>
        <v>6.5099258980626384</v>
      </c>
      <c r="EV42" t="s">
        <v>303</v>
      </c>
      <c r="EW42" t="s">
        <v>369</v>
      </c>
      <c r="EX42">
        <v>1</v>
      </c>
      <c r="EY42">
        <v>1</v>
      </c>
      <c r="FB42">
        <f t="shared" si="70"/>
        <v>2</v>
      </c>
      <c r="FC42">
        <f t="shared" si="71"/>
        <v>0.3289473684210526</v>
      </c>
      <c r="FD42">
        <f t="shared" si="72"/>
        <v>3.2894736842105261E-3</v>
      </c>
      <c r="FE42">
        <f t="shared" si="73"/>
        <v>1.0820637119113572E-5</v>
      </c>
      <c r="FF42">
        <f t="shared" si="74"/>
        <v>-5.7170277014062219</v>
      </c>
      <c r="FG42">
        <f t="shared" si="75"/>
        <v>-1.8806012175678361E-2</v>
      </c>
      <c r="FH42">
        <f t="shared" si="76"/>
        <v>-4.9402888294446745E-3</v>
      </c>
      <c r="FI42">
        <f t="shared" si="77"/>
        <v>6.8640873002990608</v>
      </c>
    </row>
    <row r="43" spans="12:165" x14ac:dyDescent="0.25">
      <c r="L43" t="s">
        <v>303</v>
      </c>
      <c r="M43" s="1" t="s">
        <v>55</v>
      </c>
      <c r="N43">
        <v>1</v>
      </c>
      <c r="O43">
        <f>N43/N46*100</f>
        <v>0.10582010582010583</v>
      </c>
      <c r="P43">
        <f t="shared" si="6"/>
        <v>1.0582010582010583E-3</v>
      </c>
      <c r="Q43">
        <f t="shared" si="7"/>
        <v>1.1197894795778394E-6</v>
      </c>
      <c r="R43">
        <f t="shared" si="8"/>
        <v>-6.8511849274937431</v>
      </c>
      <c r="S43">
        <f t="shared" si="9"/>
        <v>-7.2499311402050197E-3</v>
      </c>
      <c r="T43">
        <f t="shared" si="10"/>
        <v>-1.9396928783488247E-3</v>
      </c>
      <c r="U43">
        <f t="shared" si="11"/>
        <v>5.9843662715141974</v>
      </c>
      <c r="W43" t="s">
        <v>303</v>
      </c>
      <c r="X43" s="2" t="s">
        <v>211</v>
      </c>
      <c r="Y43" s="2">
        <v>1</v>
      </c>
      <c r="AA43">
        <v>17</v>
      </c>
      <c r="AC43" s="9">
        <f t="shared" si="84"/>
        <v>18</v>
      </c>
      <c r="AD43">
        <f>AC43/AC53*100</f>
        <v>1.6513761467889909</v>
      </c>
      <c r="AE43">
        <f t="shared" si="78"/>
        <v>1.643835616438356E-2</v>
      </c>
      <c r="AF43">
        <f t="shared" si="12"/>
        <v>2.7021955338712701E-4</v>
      </c>
      <c r="AG43">
        <f t="shared" si="13"/>
        <v>-4.1081378843544369</v>
      </c>
      <c r="AH43">
        <f t="shared" si="14"/>
        <v>-6.7531033715415398E-2</v>
      </c>
      <c r="AI43">
        <f t="shared" si="15"/>
        <v>-1.7175490477848013E-2</v>
      </c>
      <c r="AJ43">
        <f t="shared" si="16"/>
        <v>7.1443782399249294</v>
      </c>
      <c r="AL43" t="s">
        <v>315</v>
      </c>
      <c r="AM43" s="1" t="s">
        <v>154</v>
      </c>
      <c r="AN43">
        <v>1</v>
      </c>
      <c r="AO43">
        <f>AN43/AN51*100</f>
        <v>9.5510983763132759E-2</v>
      </c>
      <c r="AP43">
        <v>1</v>
      </c>
      <c r="AU43">
        <f t="shared" si="17"/>
        <v>9.5419847328244271E-4</v>
      </c>
      <c r="AV43">
        <f t="shared" si="18"/>
        <v>9.1049472641454453E-7</v>
      </c>
      <c r="AW43">
        <f t="shared" si="19"/>
        <v>-6.9546388648809874</v>
      </c>
      <c r="AX43">
        <f t="shared" si="20"/>
        <v>-6.6361057871001782E-3</v>
      </c>
      <c r="AY43">
        <f t="shared" si="21"/>
        <v>-1.7142240272209088E-3</v>
      </c>
      <c r="AZ43">
        <f t="shared" si="22"/>
        <v>6.7580791631521038</v>
      </c>
      <c r="BC43" t="s">
        <v>305</v>
      </c>
      <c r="BD43" s="26" t="s">
        <v>98</v>
      </c>
      <c r="BE43" s="9">
        <v>1</v>
      </c>
      <c r="BF43">
        <f>BE43/BE59*100</f>
        <v>3.6670333700036667E-2</v>
      </c>
      <c r="BG43">
        <f t="shared" si="23"/>
        <v>3.667033370003667E-4</v>
      </c>
      <c r="BH43">
        <f t="shared" si="24"/>
        <v>1.344713373672045E-7</v>
      </c>
      <c r="BI43">
        <f t="shared" si="25"/>
        <v>-7.9109573828455888</v>
      </c>
      <c r="BJ43">
        <f t="shared" si="26"/>
        <v>-2.9009744711571651E-3</v>
      </c>
      <c r="BK43">
        <f t="shared" si="27"/>
        <v>-7.2391646440770696E-4</v>
      </c>
      <c r="BL43">
        <f t="shared" si="28"/>
        <v>6.8259753385975239</v>
      </c>
      <c r="BO43" t="s">
        <v>303</v>
      </c>
      <c r="BP43" s="1" t="s">
        <v>239</v>
      </c>
      <c r="BR43">
        <v>5</v>
      </c>
      <c r="BS43">
        <v>3</v>
      </c>
      <c r="BU43">
        <f t="shared" si="29"/>
        <v>8</v>
      </c>
      <c r="BV43">
        <f>BU43/BU67*100</f>
        <v>0.1564945226917058</v>
      </c>
      <c r="BW43">
        <f t="shared" si="30"/>
        <v>1.5649452269170579E-3</v>
      </c>
      <c r="BX43">
        <f t="shared" si="31"/>
        <v>2.4490535632504818E-6</v>
      </c>
      <c r="BY43">
        <f t="shared" si="32"/>
        <v>-6.4599044543775346</v>
      </c>
      <c r="BZ43">
        <f t="shared" si="33"/>
        <v>-1.0109396642218365E-2</v>
      </c>
      <c r="CA43">
        <f t="shared" si="34"/>
        <v>-2.4400356999790722E-3</v>
      </c>
      <c r="CB43">
        <f t="shared" si="35"/>
        <v>7.2605091805186834</v>
      </c>
      <c r="CD43" t="s">
        <v>568</v>
      </c>
      <c r="CE43" s="1" t="s">
        <v>261</v>
      </c>
      <c r="CG43">
        <v>1</v>
      </c>
      <c r="CJ43">
        <f t="shared" si="36"/>
        <v>1</v>
      </c>
      <c r="CK43">
        <f>CJ43/CJ56*100</f>
        <v>1.7921146953405017E-2</v>
      </c>
      <c r="CL43">
        <f t="shared" si="37"/>
        <v>1.7921146953405018E-4</v>
      </c>
      <c r="CM43">
        <f t="shared" si="38"/>
        <v>3.2116750812553798E-8</v>
      </c>
      <c r="CN43">
        <f t="shared" si="39"/>
        <v>-8.6269440553753558</v>
      </c>
      <c r="CO43">
        <f t="shared" si="40"/>
        <v>-1.5460473217518559E-3</v>
      </c>
      <c r="CP43">
        <f t="shared" si="41"/>
        <v>-3.9128118432211432E-4</v>
      </c>
      <c r="CQ43">
        <f t="shared" si="42"/>
        <v>5.9117109920543012</v>
      </c>
      <c r="CT43" t="s">
        <v>568</v>
      </c>
      <c r="CU43" s="1" t="s">
        <v>259</v>
      </c>
      <c r="CW43">
        <v>1</v>
      </c>
      <c r="CZ43">
        <f t="shared" si="43"/>
        <v>1</v>
      </c>
      <c r="DA43">
        <f>CZ43/CZ72*100</f>
        <v>1.675603217158177E-2</v>
      </c>
      <c r="DB43">
        <f t="shared" si="81"/>
        <v>1.675603217158177E-4</v>
      </c>
      <c r="DC43" s="2">
        <f t="shared" si="44"/>
        <v>2.8076461413508327E-8</v>
      </c>
      <c r="DD43">
        <f t="shared" si="45"/>
        <v>-17.388334283767193</v>
      </c>
      <c r="DE43">
        <f t="shared" si="46"/>
        <v>-2.9135948866902133E-3</v>
      </c>
      <c r="DF43">
        <f t="shared" si="47"/>
        <v>-6.9050588131788001E-4</v>
      </c>
      <c r="DG43">
        <f t="shared" si="48"/>
        <v>7.7063160745129649</v>
      </c>
      <c r="DT43" t="s">
        <v>303</v>
      </c>
      <c r="DU43" t="s">
        <v>375</v>
      </c>
      <c r="DX43">
        <v>6</v>
      </c>
      <c r="DZ43">
        <f>SUM(DV43:DY43)</f>
        <v>6</v>
      </c>
      <c r="EA43">
        <f t="shared" si="57"/>
        <v>0.7050528789659225</v>
      </c>
      <c r="EB43">
        <f t="shared" si="58"/>
        <v>7.0505287896592246E-3</v>
      </c>
      <c r="EC43">
        <f t="shared" si="59"/>
        <v>4.9709956213813569E-5</v>
      </c>
      <c r="ED43">
        <f t="shared" si="60"/>
        <v>-4.9546526593453191</v>
      </c>
      <c r="EE43">
        <f t="shared" si="61"/>
        <v>-3.4932921217475814E-2</v>
      </c>
      <c r="EF43">
        <f t="shared" si="79"/>
        <v>-9.3461768387971527E-3</v>
      </c>
      <c r="EH43" t="s">
        <v>303</v>
      </c>
      <c r="EI43" t="s">
        <v>158</v>
      </c>
      <c r="EL43">
        <v>1</v>
      </c>
      <c r="EM43">
        <f t="shared" si="62"/>
        <v>1</v>
      </c>
      <c r="EN43">
        <f t="shared" si="63"/>
        <v>0.13531799729364005</v>
      </c>
      <c r="EO43">
        <f t="shared" si="64"/>
        <v>1.3531799729364006E-3</v>
      </c>
      <c r="EP43">
        <f t="shared" si="65"/>
        <v>1.831096039156158E-6</v>
      </c>
      <c r="EQ43">
        <f t="shared" si="66"/>
        <v>-6.6052979209482015</v>
      </c>
      <c r="ER43">
        <f t="shared" si="67"/>
        <v>-8.9381568619055513E-3</v>
      </c>
      <c r="ES43">
        <f t="shared" si="68"/>
        <v>-2.3619738244065537E-3</v>
      </c>
      <c r="ET43">
        <f t="shared" si="69"/>
        <v>6.5099258980626384</v>
      </c>
      <c r="EV43" t="s">
        <v>303</v>
      </c>
      <c r="EW43" t="s">
        <v>44</v>
      </c>
      <c r="EY43">
        <v>1</v>
      </c>
      <c r="FA43">
        <v>2</v>
      </c>
      <c r="FB43">
        <f t="shared" si="70"/>
        <v>3</v>
      </c>
      <c r="FC43">
        <f t="shared" si="71"/>
        <v>0.49342105263157893</v>
      </c>
      <c r="FD43">
        <f t="shared" si="72"/>
        <v>4.9342105263157892E-3</v>
      </c>
      <c r="FE43">
        <f t="shared" si="73"/>
        <v>2.4346433518005538E-5</v>
      </c>
      <c r="FF43">
        <f t="shared" si="74"/>
        <v>-5.3115625932980572</v>
      </c>
      <c r="FG43">
        <f t="shared" si="75"/>
        <v>-2.6208368059036466E-2</v>
      </c>
      <c r="FH43">
        <f t="shared" si="76"/>
        <v>-6.8848678151704973E-3</v>
      </c>
      <c r="FI43">
        <f t="shared" si="77"/>
        <v>6.8640873002990608</v>
      </c>
    </row>
    <row r="44" spans="12:165" x14ac:dyDescent="0.25">
      <c r="L44" t="s">
        <v>315</v>
      </c>
      <c r="M44" s="1" t="s">
        <v>69</v>
      </c>
      <c r="N44">
        <v>2</v>
      </c>
      <c r="O44">
        <f>N44/N46*100</f>
        <v>0.21164021164021166</v>
      </c>
      <c r="P44">
        <f t="shared" si="6"/>
        <v>2.1164021164021165E-3</v>
      </c>
      <c r="Q44">
        <f t="shared" si="7"/>
        <v>4.4791579183113577E-6</v>
      </c>
      <c r="R44">
        <f t="shared" si="8"/>
        <v>-6.1580377469337977</v>
      </c>
      <c r="S44">
        <f t="shared" si="9"/>
        <v>-1.303288412049481E-2</v>
      </c>
      <c r="T44">
        <f t="shared" si="10"/>
        <v>-3.4869010510566569E-3</v>
      </c>
      <c r="U44">
        <f t="shared" si="11"/>
        <v>5.9843662715141974</v>
      </c>
      <c r="W44" t="s">
        <v>316</v>
      </c>
      <c r="X44" s="12" t="s">
        <v>212</v>
      </c>
      <c r="Z44">
        <v>8</v>
      </c>
      <c r="AC44" s="9">
        <f t="shared" si="84"/>
        <v>8</v>
      </c>
      <c r="AD44">
        <f>AC44/AC53*100</f>
        <v>0.73394495412844041</v>
      </c>
      <c r="AE44">
        <f t="shared" si="78"/>
        <v>7.3059360730593605E-3</v>
      </c>
      <c r="AF44">
        <f t="shared" si="12"/>
        <v>5.3376701903630031E-5</v>
      </c>
      <c r="AG44">
        <f t="shared" si="13"/>
        <v>-4.9190681005707653</v>
      </c>
      <c r="AH44">
        <f t="shared" si="14"/>
        <v>-3.5938397081795546E-2</v>
      </c>
      <c r="AI44">
        <f t="shared" si="15"/>
        <v>-9.1403842486509658E-3</v>
      </c>
      <c r="AJ44">
        <f t="shared" si="16"/>
        <v>7.1443782399249294</v>
      </c>
      <c r="AL44" t="s">
        <v>303</v>
      </c>
      <c r="AM44" s="1" t="s">
        <v>155</v>
      </c>
      <c r="AN44">
        <v>2</v>
      </c>
      <c r="AO44">
        <f>AN44/AN51*100</f>
        <v>0.19102196752626552</v>
      </c>
      <c r="AP44">
        <v>2</v>
      </c>
      <c r="AU44">
        <f t="shared" si="17"/>
        <v>1.9083969465648854E-3</v>
      </c>
      <c r="AV44">
        <f t="shared" si="18"/>
        <v>3.6419789056581781E-6</v>
      </c>
      <c r="AW44">
        <f t="shared" si="19"/>
        <v>-6.261491684321042</v>
      </c>
      <c r="AX44">
        <f t="shared" si="20"/>
        <v>-1.1949411611299698E-2</v>
      </c>
      <c r="AY44">
        <f t="shared" si="21"/>
        <v>-3.0867453220925021E-3</v>
      </c>
      <c r="AZ44">
        <f t="shared" si="22"/>
        <v>6.7580791631521038</v>
      </c>
      <c r="BC44" t="s">
        <v>303</v>
      </c>
      <c r="BD44" s="27" t="s">
        <v>659</v>
      </c>
      <c r="BE44" s="9">
        <v>3</v>
      </c>
      <c r="BF44">
        <f>BE44/BE59*100</f>
        <v>0.11001100110011</v>
      </c>
      <c r="BG44">
        <f t="shared" si="23"/>
        <v>1.1001100110011001E-3</v>
      </c>
      <c r="BH44">
        <f t="shared" si="24"/>
        <v>1.2102420363048405E-6</v>
      </c>
      <c r="BI44">
        <f t="shared" si="25"/>
        <v>-6.8123450941774788</v>
      </c>
      <c r="BJ44">
        <f t="shared" si="26"/>
        <v>-7.4943290364988761E-3</v>
      </c>
      <c r="BK44">
        <f t="shared" si="27"/>
        <v>-1.8701537132266477E-3</v>
      </c>
      <c r="BL44">
        <f t="shared" si="28"/>
        <v>6.8259753385975239</v>
      </c>
      <c r="BO44" t="s">
        <v>303</v>
      </c>
      <c r="BP44" t="s">
        <v>238</v>
      </c>
      <c r="BR44">
        <v>1</v>
      </c>
      <c r="BS44">
        <v>1</v>
      </c>
      <c r="BT44">
        <v>1</v>
      </c>
      <c r="BU44">
        <f t="shared" si="29"/>
        <v>3</v>
      </c>
      <c r="BV44">
        <f>BU44/BU67*100</f>
        <v>5.8685446009389672E-2</v>
      </c>
      <c r="BW44">
        <f t="shared" si="30"/>
        <v>5.8685446009389673E-4</v>
      </c>
      <c r="BX44">
        <f t="shared" si="31"/>
        <v>3.4439815733209904E-7</v>
      </c>
      <c r="BY44">
        <f t="shared" si="32"/>
        <v>-7.4407337073892608</v>
      </c>
      <c r="BZ44">
        <f t="shared" si="33"/>
        <v>-4.3666277625523829E-3</v>
      </c>
      <c r="CA44">
        <f t="shared" si="34"/>
        <v>-1.0539429805980511E-3</v>
      </c>
      <c r="CB44">
        <f t="shared" si="35"/>
        <v>7.2605091805186834</v>
      </c>
      <c r="CD44" t="s">
        <v>303</v>
      </c>
      <c r="CE44" t="s">
        <v>260</v>
      </c>
      <c r="CF44">
        <v>3</v>
      </c>
      <c r="CG44">
        <v>1</v>
      </c>
      <c r="CH44">
        <v>4</v>
      </c>
      <c r="CJ44">
        <f t="shared" si="36"/>
        <v>8</v>
      </c>
      <c r="CK44">
        <f>CJ44/CJ56*100</f>
        <v>0.14336917562724014</v>
      </c>
      <c r="CL44">
        <f t="shared" si="37"/>
        <v>1.4336917562724014E-3</v>
      </c>
      <c r="CM44">
        <f t="shared" si="38"/>
        <v>2.0554720520034431E-6</v>
      </c>
      <c r="CN44">
        <f t="shared" si="39"/>
        <v>-6.5475025136955205</v>
      </c>
      <c r="CO44">
        <f t="shared" si="40"/>
        <v>-9.3871003780580942E-3</v>
      </c>
      <c r="CP44">
        <f t="shared" si="41"/>
        <v>-2.3757330720738847E-3</v>
      </c>
      <c r="CQ44">
        <f t="shared" si="42"/>
        <v>5.9117109920543012</v>
      </c>
      <c r="CT44" t="s">
        <v>303</v>
      </c>
      <c r="CU44" s="1" t="s">
        <v>265</v>
      </c>
      <c r="CV44">
        <v>1</v>
      </c>
      <c r="CY44">
        <v>1</v>
      </c>
      <c r="CZ44">
        <f t="shared" si="43"/>
        <v>2</v>
      </c>
      <c r="DA44">
        <f>CZ44/CZ72*100</f>
        <v>3.351206434316354E-2</v>
      </c>
      <c r="DB44">
        <f t="shared" si="81"/>
        <v>3.351206434316354E-4</v>
      </c>
      <c r="DC44" s="2">
        <f t="shared" si="44"/>
        <v>1.1230584565403331E-7</v>
      </c>
      <c r="DD44">
        <f>LN(DC44)</f>
        <v>-16.002039922647302</v>
      </c>
      <c r="DE44">
        <f t="shared" si="46"/>
        <v>-5.3626139150962813E-3</v>
      </c>
      <c r="DF44">
        <f t="shared" si="47"/>
        <v>-1.2709098524735282E-3</v>
      </c>
      <c r="DG44">
        <f t="shared" si="48"/>
        <v>7.7063160745129649</v>
      </c>
      <c r="DT44" t="s">
        <v>305</v>
      </c>
      <c r="DU44" t="s">
        <v>377</v>
      </c>
      <c r="DY44">
        <v>3</v>
      </c>
      <c r="DZ44">
        <f>SUM(DV44:DY44)</f>
        <v>3</v>
      </c>
      <c r="EA44">
        <f t="shared" si="57"/>
        <v>0.35252643948296125</v>
      </c>
      <c r="EB44">
        <f t="shared" si="58"/>
        <v>3.5252643948296123E-3</v>
      </c>
      <c r="EC44">
        <f t="shared" si="59"/>
        <v>1.2427489053453392E-5</v>
      </c>
      <c r="ED44">
        <f t="shared" si="60"/>
        <v>-5.6477998399052645</v>
      </c>
      <c r="EE44">
        <f t="shared" si="61"/>
        <v>-1.9909987684742413E-2</v>
      </c>
      <c r="EF44">
        <f t="shared" si="79"/>
        <v>-5.3268452587006991E-3</v>
      </c>
      <c r="EH44" t="s">
        <v>315</v>
      </c>
      <c r="EI44" t="s">
        <v>42</v>
      </c>
      <c r="EL44">
        <v>1</v>
      </c>
      <c r="EM44">
        <f t="shared" si="62"/>
        <v>1</v>
      </c>
      <c r="EN44">
        <f t="shared" si="63"/>
        <v>0.13531799729364005</v>
      </c>
      <c r="EO44">
        <f t="shared" si="64"/>
        <v>1.3531799729364006E-3</v>
      </c>
      <c r="EP44">
        <f t="shared" si="65"/>
        <v>1.831096039156158E-6</v>
      </c>
      <c r="EQ44">
        <f t="shared" si="66"/>
        <v>-6.6052979209482015</v>
      </c>
      <c r="ER44">
        <f t="shared" si="67"/>
        <v>-8.9381568619055513E-3</v>
      </c>
      <c r="ES44">
        <f t="shared" si="68"/>
        <v>-2.3619738244065537E-3</v>
      </c>
      <c r="ET44">
        <f t="shared" si="69"/>
        <v>6.5099258980626384</v>
      </c>
      <c r="EV44" t="s">
        <v>303</v>
      </c>
      <c r="EW44" t="s">
        <v>395</v>
      </c>
      <c r="EY44">
        <v>1</v>
      </c>
      <c r="FB44">
        <f t="shared" si="70"/>
        <v>1</v>
      </c>
      <c r="FC44">
        <f t="shared" si="71"/>
        <v>0.1644736842105263</v>
      </c>
      <c r="FD44">
        <f t="shared" si="72"/>
        <v>1.6447368421052631E-3</v>
      </c>
      <c r="FE44">
        <f t="shared" si="73"/>
        <v>2.7051592797783929E-6</v>
      </c>
      <c r="FF44">
        <f t="shared" si="74"/>
        <v>-6.4101748819661672</v>
      </c>
      <c r="FG44">
        <f t="shared" si="75"/>
        <v>-1.0543050792707511E-2</v>
      </c>
      <c r="FH44">
        <f t="shared" si="76"/>
        <v>-2.7696310931268407E-3</v>
      </c>
      <c r="FI44">
        <f t="shared" si="77"/>
        <v>6.8640873002990608</v>
      </c>
    </row>
    <row r="45" spans="12:165" x14ac:dyDescent="0.25">
      <c r="L45" t="s">
        <v>303</v>
      </c>
      <c r="M45" s="1" t="s">
        <v>58</v>
      </c>
      <c r="N45">
        <v>3</v>
      </c>
      <c r="O45">
        <f>N45/N46*100</f>
        <v>0.31746031746031744</v>
      </c>
      <c r="P45">
        <f t="shared" si="6"/>
        <v>3.1746031746031746E-3</v>
      </c>
      <c r="Q45">
        <f t="shared" si="7"/>
        <v>1.0078105316200555E-5</v>
      </c>
      <c r="R45">
        <f t="shared" si="8"/>
        <v>-5.7525726388256331</v>
      </c>
      <c r="S45">
        <f t="shared" si="9"/>
        <v>-1.8262135361351215E-2</v>
      </c>
      <c r="T45">
        <f t="shared" si="10"/>
        <v>-4.8859683242251416E-3</v>
      </c>
      <c r="U45">
        <f t="shared" si="11"/>
        <v>5.9843662715141974</v>
      </c>
      <c r="W45" t="s">
        <v>315</v>
      </c>
      <c r="X45" t="s">
        <v>213</v>
      </c>
      <c r="Y45">
        <v>1</v>
      </c>
      <c r="AA45">
        <v>3</v>
      </c>
      <c r="AC45" s="9">
        <f t="shared" si="84"/>
        <v>4</v>
      </c>
      <c r="AD45">
        <f>AC45/AC53*100</f>
        <v>0.3669724770642202</v>
      </c>
      <c r="AE45">
        <f t="shared" si="78"/>
        <v>3.6529680365296802E-3</v>
      </c>
      <c r="AF45">
        <f t="shared" si="12"/>
        <v>1.3344175475907508E-5</v>
      </c>
      <c r="AG45">
        <f t="shared" si="13"/>
        <v>-5.6122152811307107</v>
      </c>
      <c r="AH45">
        <f t="shared" si="14"/>
        <v>-2.0501243036093918E-2</v>
      </c>
      <c r="AI45">
        <f t="shared" si="15"/>
        <v>-5.214179099262038E-3</v>
      </c>
      <c r="AJ45">
        <f t="shared" si="16"/>
        <v>7.1443782399249294</v>
      </c>
      <c r="AL45" t="s">
        <v>303</v>
      </c>
      <c r="AM45" s="1" t="s">
        <v>28</v>
      </c>
      <c r="AN45">
        <v>3</v>
      </c>
      <c r="AO45">
        <f>AN45/AN51*100</f>
        <v>0.28653295128939826</v>
      </c>
      <c r="AP45">
        <v>3</v>
      </c>
      <c r="AU45">
        <f t="shared" si="17"/>
        <v>2.8625954198473282E-3</v>
      </c>
      <c r="AV45">
        <f t="shared" si="18"/>
        <v>8.1944525377309007E-6</v>
      </c>
      <c r="AW45">
        <f t="shared" si="19"/>
        <v>-5.8560265762128774</v>
      </c>
      <c r="AX45">
        <f t="shared" si="20"/>
        <v>-1.6763434855571215E-2</v>
      </c>
      <c r="AY45">
        <f t="shared" si="21"/>
        <v>-4.3302930559112919E-3</v>
      </c>
      <c r="AZ45">
        <f t="shared" si="22"/>
        <v>6.7580791631521038</v>
      </c>
      <c r="BC45" t="s">
        <v>305</v>
      </c>
      <c r="BD45" s="27" t="s">
        <v>660</v>
      </c>
      <c r="BE45" s="9">
        <v>3</v>
      </c>
      <c r="BF45">
        <f>BE45/BE59*100</f>
        <v>0.11001100110011</v>
      </c>
      <c r="BG45">
        <f t="shared" si="23"/>
        <v>1.1001100110011001E-3</v>
      </c>
      <c r="BH45">
        <f t="shared" si="24"/>
        <v>1.2102420363048405E-6</v>
      </c>
      <c r="BI45">
        <f t="shared" si="25"/>
        <v>-6.8123450941774788</v>
      </c>
      <c r="BJ45">
        <f t="shared" si="26"/>
        <v>-7.4943290364988761E-3</v>
      </c>
      <c r="BK45">
        <f t="shared" si="27"/>
        <v>-1.8701537132266477E-3</v>
      </c>
      <c r="BL45">
        <f t="shared" si="28"/>
        <v>6.8259753385975239</v>
      </c>
      <c r="BO45" t="s">
        <v>315</v>
      </c>
      <c r="BP45" t="s">
        <v>237</v>
      </c>
      <c r="BR45">
        <v>21</v>
      </c>
      <c r="BU45">
        <f t="shared" si="29"/>
        <v>21</v>
      </c>
      <c r="BV45">
        <f>BU45/BU67*100</f>
        <v>0.41079812206572774</v>
      </c>
      <c r="BW45">
        <f t="shared" si="30"/>
        <v>4.1079812206572773E-3</v>
      </c>
      <c r="BX45">
        <f t="shared" si="31"/>
        <v>1.6875509709272853E-5</v>
      </c>
      <c r="BY45">
        <f t="shared" si="32"/>
        <v>-5.4948235583339473</v>
      </c>
      <c r="BZ45">
        <f t="shared" si="33"/>
        <v>-2.2572631988461052E-2</v>
      </c>
      <c r="CA45">
        <f t="shared" si="34"/>
        <v>-5.4482012966352916E-3</v>
      </c>
      <c r="CB45">
        <f t="shared" si="35"/>
        <v>7.2605091805186834</v>
      </c>
      <c r="CD45" t="s">
        <v>305</v>
      </c>
      <c r="CE45" s="1" t="s">
        <v>253</v>
      </c>
      <c r="CF45">
        <v>5</v>
      </c>
      <c r="CG45">
        <v>9</v>
      </c>
      <c r="CJ45">
        <f t="shared" si="36"/>
        <v>14</v>
      </c>
      <c r="CK45">
        <f>CJ45/CJ56*100</f>
        <v>0.25089605734767023</v>
      </c>
      <c r="CL45">
        <f t="shared" si="37"/>
        <v>2.5089605734767025E-3</v>
      </c>
      <c r="CM45">
        <f t="shared" si="38"/>
        <v>6.294883159260544E-6</v>
      </c>
      <c r="CN45">
        <f t="shared" si="39"/>
        <v>-5.9878867257600978</v>
      </c>
      <c r="CO45">
        <f t="shared" si="40"/>
        <v>-1.5023371713376589E-2</v>
      </c>
      <c r="CP45">
        <f t="shared" si="41"/>
        <v>-3.8021880661844539E-3</v>
      </c>
      <c r="CQ45">
        <f t="shared" si="42"/>
        <v>5.9117109920543012</v>
      </c>
      <c r="CT45" t="s">
        <v>304</v>
      </c>
      <c r="CU45" s="1" t="s">
        <v>266</v>
      </c>
      <c r="CV45">
        <v>3</v>
      </c>
      <c r="CY45">
        <v>3</v>
      </c>
      <c r="CZ45">
        <f t="shared" si="43"/>
        <v>6</v>
      </c>
      <c r="DA45">
        <f>CZ45/CZ72*100</f>
        <v>0.10053619302949061</v>
      </c>
      <c r="DB45">
        <f t="shared" si="81"/>
        <v>1.0053619302949062E-3</v>
      </c>
      <c r="DC45" s="2">
        <f t="shared" si="44"/>
        <v>1.0107526108862999E-6</v>
      </c>
      <c r="DD45">
        <f t="shared" si="45"/>
        <v>-13.804815345311084</v>
      </c>
      <c r="DE45">
        <f t="shared" si="46"/>
        <v>-1.3878835802926693E-2</v>
      </c>
      <c r="DF45">
        <f t="shared" si="47"/>
        <v>-3.2892073608258624E-3</v>
      </c>
      <c r="DG45">
        <f t="shared" si="48"/>
        <v>7.7063160745129649</v>
      </c>
      <c r="DT45" t="s">
        <v>568</v>
      </c>
      <c r="DU45" t="s">
        <v>378</v>
      </c>
      <c r="DY45">
        <v>2</v>
      </c>
      <c r="DZ45">
        <f>SUM(DV45:DY45)</f>
        <v>2</v>
      </c>
      <c r="EA45">
        <f t="shared" si="57"/>
        <v>0.23501762632197415</v>
      </c>
      <c r="EB45">
        <f t="shared" si="58"/>
        <v>2.3501762632197414E-3</v>
      </c>
      <c r="EC45">
        <f t="shared" si="59"/>
        <v>5.5233284682015071E-6</v>
      </c>
      <c r="ED45">
        <f t="shared" si="60"/>
        <v>-6.0532649480134291</v>
      </c>
      <c r="EE45">
        <f t="shared" si="61"/>
        <v>-1.4226239595801243E-2</v>
      </c>
      <c r="EF45">
        <f t="shared" si="79"/>
        <v>-3.8061789961882854E-3</v>
      </c>
      <c r="EH45" t="s">
        <v>568</v>
      </c>
      <c r="EI45" t="s">
        <v>390</v>
      </c>
      <c r="EL45">
        <v>1</v>
      </c>
      <c r="EM45">
        <f t="shared" si="62"/>
        <v>1</v>
      </c>
      <c r="EN45">
        <f t="shared" si="63"/>
        <v>0.13531799729364005</v>
      </c>
      <c r="EO45">
        <f t="shared" si="64"/>
        <v>1.3531799729364006E-3</v>
      </c>
      <c r="EP45">
        <f t="shared" si="65"/>
        <v>1.831096039156158E-6</v>
      </c>
      <c r="EQ45">
        <f t="shared" si="66"/>
        <v>-6.6052979209482015</v>
      </c>
      <c r="ER45">
        <f t="shared" si="67"/>
        <v>-8.9381568619055513E-3</v>
      </c>
      <c r="ES45">
        <f t="shared" si="68"/>
        <v>-2.3619738244065537E-3</v>
      </c>
      <c r="ET45">
        <f t="shared" si="69"/>
        <v>6.5099258980626384</v>
      </c>
      <c r="EV45" t="s">
        <v>303</v>
      </c>
      <c r="EW45" t="s">
        <v>397</v>
      </c>
      <c r="EY45">
        <v>1</v>
      </c>
      <c r="FB45">
        <f t="shared" si="70"/>
        <v>1</v>
      </c>
      <c r="FC45">
        <f t="shared" si="71"/>
        <v>0.1644736842105263</v>
      </c>
      <c r="FD45">
        <f t="shared" si="72"/>
        <v>1.6447368421052631E-3</v>
      </c>
      <c r="FE45">
        <f t="shared" si="73"/>
        <v>2.7051592797783929E-6</v>
      </c>
      <c r="FF45">
        <f t="shared" si="74"/>
        <v>-6.4101748819661672</v>
      </c>
      <c r="FG45">
        <f t="shared" si="75"/>
        <v>-1.0543050792707511E-2</v>
      </c>
      <c r="FH45">
        <f t="shared" si="76"/>
        <v>-2.7696310931268407E-3</v>
      </c>
      <c r="FI45">
        <f t="shared" si="77"/>
        <v>6.8640873002990608</v>
      </c>
    </row>
    <row r="46" spans="12:165" x14ac:dyDescent="0.25">
      <c r="N46" s="3">
        <f>SUM(N4:N45)</f>
        <v>945</v>
      </c>
      <c r="S46" s="3">
        <f>SUM(S4:S45)</f>
        <v>-2.9531692703902368</v>
      </c>
      <c r="T46" s="3">
        <f>SUM(T4:T45)</f>
        <v>-0.79010976677670186</v>
      </c>
      <c r="U46" s="3">
        <f t="shared" si="11"/>
        <v>5.9843662715141974</v>
      </c>
      <c r="W46" t="s">
        <v>316</v>
      </c>
      <c r="X46" s="1" t="s">
        <v>214</v>
      </c>
      <c r="Y46">
        <v>5</v>
      </c>
      <c r="AC46" s="9">
        <f t="shared" si="84"/>
        <v>5</v>
      </c>
      <c r="AD46">
        <f>AC46/AC53*100</f>
        <v>0.45871559633027525</v>
      </c>
      <c r="AE46">
        <f t="shared" si="78"/>
        <v>4.5662100456621002E-3</v>
      </c>
      <c r="AF46">
        <f t="shared" si="12"/>
        <v>2.0850274181105478E-5</v>
      </c>
      <c r="AG46">
        <f t="shared" si="13"/>
        <v>-5.389071729816501</v>
      </c>
      <c r="AH46">
        <f t="shared" si="14"/>
        <v>-2.4607633469481738E-2</v>
      </c>
      <c r="AI46">
        <f t="shared" si="15"/>
        <v>-6.258576999110547E-3</v>
      </c>
      <c r="AJ46">
        <f t="shared" si="16"/>
        <v>7.1443782399249294</v>
      </c>
      <c r="AL46" t="s">
        <v>303</v>
      </c>
      <c r="AM46" s="1" t="s">
        <v>59</v>
      </c>
      <c r="AN46">
        <v>1</v>
      </c>
      <c r="AO46">
        <f>AN46/AN51*100</f>
        <v>9.5510983763132759E-2</v>
      </c>
      <c r="AP46">
        <v>1</v>
      </c>
      <c r="AU46">
        <f t="shared" si="17"/>
        <v>9.5419847328244271E-4</v>
      </c>
      <c r="AV46">
        <f t="shared" si="18"/>
        <v>9.1049472641454453E-7</v>
      </c>
      <c r="AW46">
        <f t="shared" si="19"/>
        <v>-6.9546388648809874</v>
      </c>
      <c r="AX46">
        <f t="shared" si="20"/>
        <v>-6.6361057871001782E-3</v>
      </c>
      <c r="AY46">
        <f t="shared" si="21"/>
        <v>-1.7142240272209088E-3</v>
      </c>
      <c r="AZ46">
        <f t="shared" si="22"/>
        <v>6.7580791631521038</v>
      </c>
      <c r="BC46" t="s">
        <v>303</v>
      </c>
      <c r="BD46" s="27" t="s">
        <v>661</v>
      </c>
      <c r="BE46" s="9">
        <v>1</v>
      </c>
      <c r="BF46">
        <f>BE46/BE59*100</f>
        <v>3.6670333700036667E-2</v>
      </c>
      <c r="BG46">
        <f t="shared" si="23"/>
        <v>3.667033370003667E-4</v>
      </c>
      <c r="BH46">
        <f t="shared" si="24"/>
        <v>1.344713373672045E-7</v>
      </c>
      <c r="BI46">
        <f t="shared" si="25"/>
        <v>-7.9109573828455888</v>
      </c>
      <c r="BJ46">
        <f t="shared" si="26"/>
        <v>-2.9009744711571651E-3</v>
      </c>
      <c r="BK46">
        <f t="shared" si="27"/>
        <v>-7.2391646440770696E-4</v>
      </c>
      <c r="BL46">
        <f t="shared" si="28"/>
        <v>6.8259753385975239</v>
      </c>
      <c r="BO46" t="s">
        <v>315</v>
      </c>
      <c r="BP46" t="s">
        <v>236</v>
      </c>
      <c r="BR46">
        <v>2</v>
      </c>
      <c r="BS46">
        <v>1</v>
      </c>
      <c r="BU46">
        <f t="shared" si="29"/>
        <v>3</v>
      </c>
      <c r="BV46">
        <f>BU46/BU67*100</f>
        <v>5.8685446009389672E-2</v>
      </c>
      <c r="BW46">
        <f t="shared" si="30"/>
        <v>5.8685446009389673E-4</v>
      </c>
      <c r="BX46">
        <f t="shared" si="31"/>
        <v>3.4439815733209904E-7</v>
      </c>
      <c r="BY46">
        <f t="shared" si="32"/>
        <v>-7.4407337073892608</v>
      </c>
      <c r="BZ46">
        <f t="shared" si="33"/>
        <v>-4.3666277625523829E-3</v>
      </c>
      <c r="CA46">
        <f t="shared" si="34"/>
        <v>-1.0539429805980511E-3</v>
      </c>
      <c r="CB46">
        <f t="shared" si="35"/>
        <v>7.2605091805186834</v>
      </c>
      <c r="CD46" t="s">
        <v>325</v>
      </c>
      <c r="CE46" t="s">
        <v>254</v>
      </c>
      <c r="CF46">
        <v>1</v>
      </c>
      <c r="CI46">
        <v>2</v>
      </c>
      <c r="CJ46">
        <f t="shared" si="36"/>
        <v>3</v>
      </c>
      <c r="CK46">
        <f>CJ46/CJ56*100</f>
        <v>5.3763440860215055E-2</v>
      </c>
      <c r="CL46">
        <f t="shared" si="37"/>
        <v>5.3763440860215054E-4</v>
      </c>
      <c r="CM46">
        <f t="shared" si="38"/>
        <v>2.8905075731298418E-7</v>
      </c>
      <c r="CN46">
        <f t="shared" si="39"/>
        <v>-7.5283317667072467</v>
      </c>
      <c r="CO46">
        <f t="shared" si="40"/>
        <v>-4.0474901971544333E-3</v>
      </c>
      <c r="CP46">
        <f t="shared" si="41"/>
        <v>-1.0243585274480513E-3</v>
      </c>
      <c r="CQ46">
        <f t="shared" si="42"/>
        <v>5.9117109920543012</v>
      </c>
      <c r="CT46" t="s">
        <v>303</v>
      </c>
      <c r="CU46" t="s">
        <v>284</v>
      </c>
      <c r="CV46">
        <v>6</v>
      </c>
      <c r="CW46">
        <v>2</v>
      </c>
      <c r="CY46">
        <v>1</v>
      </c>
      <c r="CZ46">
        <f t="shared" si="43"/>
        <v>9</v>
      </c>
      <c r="DA46">
        <f>CZ46/CZ72*100</f>
        <v>0.15080428954423591</v>
      </c>
      <c r="DB46">
        <f t="shared" si="81"/>
        <v>1.5080428954423592E-3</v>
      </c>
      <c r="DC46" s="2">
        <f t="shared" si="44"/>
        <v>2.2741933744941743E-6</v>
      </c>
      <c r="DD46">
        <f t="shared" si="45"/>
        <v>-12.993885129094755</v>
      </c>
      <c r="DE46">
        <f t="shared" si="46"/>
        <v>-1.9595336153125469E-2</v>
      </c>
      <c r="DF46">
        <f t="shared" si="47"/>
        <v>-4.6439863420767542E-3</v>
      </c>
      <c r="DG46">
        <f t="shared" si="48"/>
        <v>7.7063160745129649</v>
      </c>
      <c r="DZ46">
        <f>SUM(DZ4:DZ45)</f>
        <v>851</v>
      </c>
      <c r="EE46" s="3">
        <f>SUM(EE4:EE45)</f>
        <v>-2.9015840476225665</v>
      </c>
      <c r="EF46" s="3"/>
      <c r="EG46" s="3"/>
      <c r="EH46" t="s">
        <v>315</v>
      </c>
      <c r="EI46" t="s">
        <v>391</v>
      </c>
      <c r="EL46">
        <v>2</v>
      </c>
      <c r="EM46">
        <f t="shared" si="62"/>
        <v>2</v>
      </c>
      <c r="EN46">
        <f t="shared" si="63"/>
        <v>0.2706359945872801</v>
      </c>
      <c r="EO46">
        <f t="shared" si="64"/>
        <v>2.7063599458728013E-3</v>
      </c>
      <c r="EP46">
        <f t="shared" si="65"/>
        <v>7.324384156624632E-6</v>
      </c>
      <c r="EQ46">
        <f t="shared" si="66"/>
        <v>-5.9121507403882561</v>
      </c>
      <c r="ER46">
        <f t="shared" si="67"/>
        <v>-1.6000407957749003E-2</v>
      </c>
      <c r="ES46">
        <f t="shared" si="68"/>
        <v>-4.2282257248249236E-3</v>
      </c>
      <c r="ET46">
        <f t="shared" si="69"/>
        <v>6.5099258980626384</v>
      </c>
      <c r="EV46" t="s">
        <v>315</v>
      </c>
      <c r="EW46" t="s">
        <v>398</v>
      </c>
      <c r="EY46">
        <v>1</v>
      </c>
      <c r="FB46">
        <f t="shared" si="70"/>
        <v>1</v>
      </c>
      <c r="FC46">
        <f t="shared" si="71"/>
        <v>0.1644736842105263</v>
      </c>
      <c r="FD46">
        <f t="shared" si="72"/>
        <v>1.6447368421052631E-3</v>
      </c>
      <c r="FE46">
        <f t="shared" si="73"/>
        <v>2.7051592797783929E-6</v>
      </c>
      <c r="FF46">
        <f t="shared" si="74"/>
        <v>-6.4101748819661672</v>
      </c>
      <c r="FG46">
        <f t="shared" si="75"/>
        <v>-1.0543050792707511E-2</v>
      </c>
      <c r="FH46">
        <f t="shared" si="76"/>
        <v>-2.7696310931268407E-3</v>
      </c>
      <c r="FI46">
        <f t="shared" si="77"/>
        <v>6.8640873002990608</v>
      </c>
    </row>
    <row r="47" spans="12:165" x14ac:dyDescent="0.25">
      <c r="S47">
        <f>STDEV(S4:S45)</f>
        <v>7.4268819724591359E-2</v>
      </c>
      <c r="T47">
        <f>STDEV(T4:T45)</f>
        <v>1.9870354340922578E-2</v>
      </c>
      <c r="U47">
        <f>STDEV(U4:U45)</f>
        <v>5.3936676708674066E-15</v>
      </c>
      <c r="W47" t="s">
        <v>303</v>
      </c>
      <c r="X47" t="s">
        <v>215</v>
      </c>
      <c r="Y47">
        <v>3</v>
      </c>
      <c r="AC47" s="9">
        <f t="shared" si="84"/>
        <v>3</v>
      </c>
      <c r="AD47">
        <f>AC47/AC53*100</f>
        <v>0.27522935779816515</v>
      </c>
      <c r="AE47">
        <f t="shared" si="78"/>
        <v>2.7397260273972603E-3</v>
      </c>
      <c r="AF47">
        <f t="shared" si="12"/>
        <v>7.5060987051979735E-6</v>
      </c>
      <c r="AG47">
        <f t="shared" si="13"/>
        <v>-5.8998973535824915</v>
      </c>
      <c r="AH47">
        <f t="shared" si="14"/>
        <v>-1.6164102338582169E-2</v>
      </c>
      <c r="AI47">
        <f t="shared" si="15"/>
        <v>-4.1110933821808908E-3</v>
      </c>
      <c r="AJ47">
        <f t="shared" si="16"/>
        <v>7.1443782399249294</v>
      </c>
      <c r="AL47" t="s">
        <v>315</v>
      </c>
      <c r="AM47" s="18" t="s">
        <v>156</v>
      </c>
      <c r="AN47" s="15">
        <v>1</v>
      </c>
      <c r="AO47" s="15">
        <f>AN47/AN51*100</f>
        <v>9.5510983763132759E-2</v>
      </c>
      <c r="AP47">
        <v>1</v>
      </c>
      <c r="AU47">
        <f t="shared" si="17"/>
        <v>9.5419847328244271E-4</v>
      </c>
      <c r="AV47">
        <f t="shared" si="18"/>
        <v>9.1049472641454453E-7</v>
      </c>
      <c r="AW47">
        <f t="shared" si="19"/>
        <v>-6.9546388648809874</v>
      </c>
      <c r="AX47">
        <f t="shared" si="20"/>
        <v>-6.6361057871001782E-3</v>
      </c>
      <c r="AY47">
        <f t="shared" si="21"/>
        <v>-1.7142240272209088E-3</v>
      </c>
      <c r="AZ47">
        <f t="shared" si="22"/>
        <v>6.7580791631521038</v>
      </c>
      <c r="BC47" t="s">
        <v>315</v>
      </c>
      <c r="BD47" s="27" t="s">
        <v>662</v>
      </c>
      <c r="BE47" s="9">
        <v>660</v>
      </c>
      <c r="BF47" s="20">
        <f>BE47/BE59*100</f>
        <v>24.202420242024203</v>
      </c>
      <c r="BG47">
        <f t="shared" si="23"/>
        <v>0.24202420242024203</v>
      </c>
      <c r="BH47">
        <f t="shared" si="24"/>
        <v>5.8575714557154289E-2</v>
      </c>
      <c r="BI47">
        <f t="shared" si="25"/>
        <v>-1.4187175478251173</v>
      </c>
      <c r="BJ47">
        <f t="shared" si="26"/>
        <v>-0.34336398297197557</v>
      </c>
      <c r="BK47">
        <f t="shared" si="27"/>
        <v>-8.5683911743928656E-2</v>
      </c>
      <c r="BL47">
        <f t="shared" si="28"/>
        <v>6.8259753385975239</v>
      </c>
      <c r="BO47" t="s">
        <v>303</v>
      </c>
      <c r="BP47" t="s">
        <v>235</v>
      </c>
      <c r="BR47">
        <v>1</v>
      </c>
      <c r="BU47">
        <f t="shared" si="29"/>
        <v>1</v>
      </c>
      <c r="BV47">
        <f>BU47/BU67*100</f>
        <v>1.9561815336463225E-2</v>
      </c>
      <c r="BW47">
        <f t="shared" si="30"/>
        <v>1.9561815336463224E-4</v>
      </c>
      <c r="BX47">
        <f t="shared" si="31"/>
        <v>3.8266461925788778E-8</v>
      </c>
      <c r="BY47">
        <f t="shared" si="32"/>
        <v>-8.5393459960573708</v>
      </c>
      <c r="BZ47">
        <f t="shared" si="33"/>
        <v>-1.670451094690409E-3</v>
      </c>
      <c r="CA47">
        <f t="shared" si="34"/>
        <v>-4.0318531860664115E-4</v>
      </c>
      <c r="CB47">
        <f t="shared" si="35"/>
        <v>7.2605091805186834</v>
      </c>
      <c r="CD47" t="s">
        <v>315</v>
      </c>
      <c r="CE47" s="1" t="s">
        <v>256</v>
      </c>
      <c r="CF47">
        <v>3</v>
      </c>
      <c r="CH47">
        <v>1</v>
      </c>
      <c r="CJ47">
        <f t="shared" si="36"/>
        <v>4</v>
      </c>
      <c r="CK47">
        <f>CJ47/CJ56*100</f>
        <v>7.1684587813620068E-2</v>
      </c>
      <c r="CL47">
        <f t="shared" si="37"/>
        <v>7.1684587813620072E-4</v>
      </c>
      <c r="CM47">
        <f t="shared" si="38"/>
        <v>5.1386801300086077E-7</v>
      </c>
      <c r="CN47">
        <f t="shared" si="39"/>
        <v>-7.2406496942554659</v>
      </c>
      <c r="CO47">
        <f t="shared" si="40"/>
        <v>-5.1904298883551723E-3</v>
      </c>
      <c r="CP47">
        <f t="shared" si="41"/>
        <v>-1.3136192697874472E-3</v>
      </c>
      <c r="CQ47">
        <f t="shared" si="42"/>
        <v>5.9117109920543012</v>
      </c>
      <c r="CT47" t="s">
        <v>571</v>
      </c>
      <c r="CU47" t="s">
        <v>175</v>
      </c>
      <c r="CV47">
        <v>5</v>
      </c>
      <c r="CW47">
        <v>1</v>
      </c>
      <c r="CX47">
        <v>5</v>
      </c>
      <c r="CZ47">
        <f t="shared" si="43"/>
        <v>11</v>
      </c>
      <c r="DA47">
        <f>CZ47/CZ72*100</f>
        <v>0.18431635388739945</v>
      </c>
      <c r="DB47">
        <f t="shared" si="81"/>
        <v>1.8431635388739946E-3</v>
      </c>
      <c r="DC47" s="2">
        <f t="shared" si="44"/>
        <v>3.3972518310345072E-6</v>
      </c>
      <c r="DD47">
        <f t="shared" si="45"/>
        <v>-12.592543738170452</v>
      </c>
      <c r="DE47">
        <f>DB47*DD47</f>
        <v>-2.3210117479871811E-2</v>
      </c>
      <c r="DF47">
        <f t="shared" si="47"/>
        <v>-5.500669533414943E-3</v>
      </c>
      <c r="DG47">
        <f t="shared" si="48"/>
        <v>7.7063160745129649</v>
      </c>
      <c r="EE47">
        <f>STDEV(EE4:EE45)</f>
        <v>7.3944773943702885E-2</v>
      </c>
      <c r="EF47">
        <f>STDEV(EF4:EF45)</f>
        <v>1.8219617992636689E-2</v>
      </c>
      <c r="EH47" t="s">
        <v>303</v>
      </c>
      <c r="EI47" t="s">
        <v>200</v>
      </c>
      <c r="EL47">
        <v>1</v>
      </c>
      <c r="EM47">
        <f t="shared" si="62"/>
        <v>1</v>
      </c>
      <c r="EN47">
        <f t="shared" si="63"/>
        <v>0.13531799729364005</v>
      </c>
      <c r="EO47">
        <f t="shared" si="64"/>
        <v>1.3531799729364006E-3</v>
      </c>
      <c r="EP47">
        <f t="shared" si="65"/>
        <v>1.831096039156158E-6</v>
      </c>
      <c r="EQ47">
        <f t="shared" si="66"/>
        <v>-6.6052979209482015</v>
      </c>
      <c r="ER47">
        <f t="shared" si="67"/>
        <v>-8.9381568619055513E-3</v>
      </c>
      <c r="ES47">
        <f>ER47/LN(44)</f>
        <v>-2.3619738244065537E-3</v>
      </c>
      <c r="ET47">
        <f t="shared" si="69"/>
        <v>6.5099258980626384</v>
      </c>
      <c r="EV47" t="s">
        <v>325</v>
      </c>
      <c r="EW47" t="s">
        <v>402</v>
      </c>
      <c r="EY47">
        <v>5</v>
      </c>
      <c r="FA47">
        <v>2</v>
      </c>
      <c r="FB47">
        <f t="shared" si="70"/>
        <v>7</v>
      </c>
      <c r="FC47">
        <f t="shared" si="71"/>
        <v>1.1513157894736841</v>
      </c>
      <c r="FD47">
        <f t="shared" si="72"/>
        <v>1.1513157894736841E-2</v>
      </c>
      <c r="FE47">
        <f t="shared" si="73"/>
        <v>1.3255280470914126E-4</v>
      </c>
      <c r="FF47">
        <f t="shared" si="74"/>
        <v>-4.4642647329108538</v>
      </c>
      <c r="FG47">
        <f t="shared" si="75"/>
        <v>-5.1397784753907855E-2</v>
      </c>
      <c r="FH47">
        <f t="shared" si="76"/>
        <v>-1.3502059846920921E-2</v>
      </c>
      <c r="FI47">
        <f t="shared" si="77"/>
        <v>6.8640873002990608</v>
      </c>
    </row>
    <row r="48" spans="12:165" x14ac:dyDescent="0.25">
      <c r="W48" t="s">
        <v>568</v>
      </c>
      <c r="X48" t="s">
        <v>216</v>
      </c>
      <c r="Y48">
        <v>23</v>
      </c>
      <c r="AC48" s="14">
        <f t="shared" si="84"/>
        <v>23</v>
      </c>
      <c r="AD48">
        <f>AC48/AC53*100</f>
        <v>2.1100917431192663</v>
      </c>
      <c r="AE48">
        <f t="shared" si="78"/>
        <v>2.1004566210045664E-2</v>
      </c>
      <c r="AF48">
        <f t="shared" si="12"/>
        <v>4.4119180167219207E-4</v>
      </c>
      <c r="AG48">
        <f t="shared" si="13"/>
        <v>-3.8630154263214513</v>
      </c>
      <c r="AH48">
        <f t="shared" si="14"/>
        <v>-8.1140963292596707E-2</v>
      </c>
      <c r="AI48">
        <f t="shared" si="15"/>
        <v>-2.0636968897416463E-2</v>
      </c>
      <c r="AJ48">
        <f t="shared" si="16"/>
        <v>7.1443782399249294</v>
      </c>
      <c r="AL48" t="s">
        <v>303</v>
      </c>
      <c r="AM48" s="1" t="s">
        <v>157</v>
      </c>
      <c r="AN48">
        <v>1</v>
      </c>
      <c r="AO48">
        <f>AN48/AN51*100</f>
        <v>9.5510983763132759E-2</v>
      </c>
      <c r="AP48">
        <v>1</v>
      </c>
      <c r="AU48">
        <f t="shared" si="17"/>
        <v>9.5419847328244271E-4</v>
      </c>
      <c r="AV48">
        <f t="shared" si="18"/>
        <v>9.1049472641454453E-7</v>
      </c>
      <c r="AW48">
        <f t="shared" si="19"/>
        <v>-6.9546388648809874</v>
      </c>
      <c r="AX48">
        <f t="shared" si="20"/>
        <v>-6.6361057871001782E-3</v>
      </c>
      <c r="AY48">
        <f t="shared" si="21"/>
        <v>-1.7142240272209088E-3</v>
      </c>
      <c r="AZ48">
        <f t="shared" si="22"/>
        <v>6.7580791631521038</v>
      </c>
      <c r="BC48" t="s">
        <v>315</v>
      </c>
      <c r="BD48" s="27" t="s">
        <v>663</v>
      </c>
      <c r="BE48" s="9">
        <v>8</v>
      </c>
      <c r="BF48">
        <f>BE48/BE59*100</f>
        <v>0.29336266960029334</v>
      </c>
      <c r="BG48">
        <f t="shared" si="23"/>
        <v>2.9336266960029336E-3</v>
      </c>
      <c r="BH48">
        <f t="shared" si="24"/>
        <v>8.6061655915010878E-6</v>
      </c>
      <c r="BI48">
        <f t="shared" si="25"/>
        <v>-5.8315158411657526</v>
      </c>
      <c r="BJ48">
        <f t="shared" si="26"/>
        <v>-1.7107490549807855E-2</v>
      </c>
      <c r="BK48">
        <f t="shared" si="27"/>
        <v>-4.2690462107945297E-3</v>
      </c>
      <c r="BL48">
        <f t="shared" si="28"/>
        <v>6.8259753385975239</v>
      </c>
      <c r="BO48" t="s">
        <v>303</v>
      </c>
      <c r="BP48" t="s">
        <v>234</v>
      </c>
      <c r="BR48">
        <v>3</v>
      </c>
      <c r="BU48">
        <f t="shared" si="29"/>
        <v>3</v>
      </c>
      <c r="BV48">
        <f>BU48/BU67*100</f>
        <v>5.8685446009389672E-2</v>
      </c>
      <c r="BW48">
        <f t="shared" si="30"/>
        <v>5.8685446009389673E-4</v>
      </c>
      <c r="BX48">
        <f t="shared" si="31"/>
        <v>3.4439815733209904E-7</v>
      </c>
      <c r="BY48">
        <f t="shared" si="32"/>
        <v>-7.4407337073892608</v>
      </c>
      <c r="BZ48">
        <f t="shared" si="33"/>
        <v>-4.3666277625523829E-3</v>
      </c>
      <c r="CA48">
        <f t="shared" si="34"/>
        <v>-1.0539429805980511E-3</v>
      </c>
      <c r="CB48">
        <f t="shared" si="35"/>
        <v>7.2605091805186834</v>
      </c>
      <c r="CD48" t="s">
        <v>303</v>
      </c>
      <c r="CE48" s="1" t="s">
        <v>59</v>
      </c>
      <c r="CF48">
        <v>2</v>
      </c>
      <c r="CH48">
        <v>1</v>
      </c>
      <c r="CI48">
        <v>2</v>
      </c>
      <c r="CJ48">
        <f t="shared" si="36"/>
        <v>5</v>
      </c>
      <c r="CK48">
        <f>CJ48/CJ56*100</f>
        <v>8.9605734767025089E-2</v>
      </c>
      <c r="CL48">
        <f t="shared" si="37"/>
        <v>8.960573476702509E-4</v>
      </c>
      <c r="CM48">
        <f t="shared" si="38"/>
        <v>8.0291877031384485E-7</v>
      </c>
      <c r="CN48">
        <f t="shared" si="39"/>
        <v>-7.0175061429412562</v>
      </c>
      <c r="CO48">
        <f t="shared" si="40"/>
        <v>-6.2880879417036347E-3</v>
      </c>
      <c r="CP48">
        <f t="shared" si="41"/>
        <v>-1.591419914730337E-3</v>
      </c>
      <c r="CQ48">
        <f t="shared" si="42"/>
        <v>5.9117109920543012</v>
      </c>
      <c r="CT48" t="s">
        <v>303</v>
      </c>
      <c r="CU48" s="1" t="s">
        <v>282</v>
      </c>
      <c r="CV48">
        <v>2</v>
      </c>
      <c r="CX48">
        <v>2</v>
      </c>
      <c r="CY48">
        <v>2</v>
      </c>
      <c r="CZ48">
        <f t="shared" si="43"/>
        <v>6</v>
      </c>
      <c r="DA48">
        <f>CZ48/CZ72*100</f>
        <v>0.10053619302949061</v>
      </c>
      <c r="DB48">
        <f>CZ48/5968</f>
        <v>1.0053619302949062E-3</v>
      </c>
      <c r="DC48" s="2">
        <f t="shared" si="44"/>
        <v>1.0107526108862999E-6</v>
      </c>
      <c r="DD48">
        <f>LN(DC48)</f>
        <v>-13.804815345311084</v>
      </c>
      <c r="DE48">
        <f t="shared" si="46"/>
        <v>-1.3878835802926693E-2</v>
      </c>
      <c r="DF48">
        <f t="shared" si="47"/>
        <v>-3.2892073608258624E-3</v>
      </c>
      <c r="DG48">
        <f t="shared" si="48"/>
        <v>7.7063160745129649</v>
      </c>
      <c r="EM48" s="3">
        <f>SUM(SUM(EM4:EM47))</f>
        <v>739</v>
      </c>
      <c r="ER48" s="3">
        <f>SUM(ER4:ER47)</f>
        <v>-2.880171868391503</v>
      </c>
      <c r="ES48" s="3">
        <f>ER48/LN(44)</f>
        <v>-0.76110664290607666</v>
      </c>
      <c r="ET48" s="3">
        <f t="shared" si="69"/>
        <v>6.5099258980626384</v>
      </c>
      <c r="EV48" t="s">
        <v>303</v>
      </c>
      <c r="EW48" t="s">
        <v>401</v>
      </c>
      <c r="EZ48">
        <v>1</v>
      </c>
      <c r="FB48">
        <f t="shared" si="70"/>
        <v>1</v>
      </c>
      <c r="FC48">
        <f t="shared" si="71"/>
        <v>0.1644736842105263</v>
      </c>
      <c r="FD48">
        <f t="shared" si="72"/>
        <v>1.6447368421052631E-3</v>
      </c>
      <c r="FE48">
        <f t="shared" si="73"/>
        <v>2.7051592797783929E-6</v>
      </c>
      <c r="FF48">
        <f t="shared" si="74"/>
        <v>-6.4101748819661672</v>
      </c>
      <c r="FG48">
        <f t="shared" si="75"/>
        <v>-1.0543050792707511E-2</v>
      </c>
      <c r="FH48">
        <f t="shared" si="76"/>
        <v>-2.7696310931268407E-3</v>
      </c>
      <c r="FI48">
        <f t="shared" si="77"/>
        <v>6.8640873002990608</v>
      </c>
    </row>
    <row r="49" spans="23:165" x14ac:dyDescent="0.25">
      <c r="W49" t="s">
        <v>303</v>
      </c>
      <c r="X49" s="1" t="s">
        <v>217</v>
      </c>
      <c r="Y49">
        <v>3</v>
      </c>
      <c r="AC49" s="9">
        <f t="shared" si="84"/>
        <v>3</v>
      </c>
      <c r="AD49">
        <f>AC49/AC53*100</f>
        <v>0.27522935779816515</v>
      </c>
      <c r="AE49">
        <f t="shared" si="78"/>
        <v>2.7397260273972603E-3</v>
      </c>
      <c r="AF49">
        <f t="shared" si="12"/>
        <v>7.5060987051979735E-6</v>
      </c>
      <c r="AG49">
        <f t="shared" si="13"/>
        <v>-5.8998973535824915</v>
      </c>
      <c r="AH49">
        <f t="shared" si="14"/>
        <v>-1.6164102338582169E-2</v>
      </c>
      <c r="AI49">
        <f t="shared" si="15"/>
        <v>-4.1110933821808908E-3</v>
      </c>
      <c r="AJ49">
        <f t="shared" si="16"/>
        <v>7.1443782399249294</v>
      </c>
      <c r="AL49" t="s">
        <v>303</v>
      </c>
      <c r="AM49" s="1" t="s">
        <v>158</v>
      </c>
      <c r="AN49">
        <v>2</v>
      </c>
      <c r="AO49">
        <f>AN49/AN51*100</f>
        <v>0.19102196752626552</v>
      </c>
      <c r="AP49">
        <v>2</v>
      </c>
      <c r="AU49">
        <f t="shared" si="17"/>
        <v>1.9083969465648854E-3</v>
      </c>
      <c r="AV49">
        <f t="shared" si="18"/>
        <v>3.6419789056581781E-6</v>
      </c>
      <c r="AW49">
        <f t="shared" si="19"/>
        <v>-6.261491684321042</v>
      </c>
      <c r="AX49">
        <f t="shared" si="20"/>
        <v>-1.1949411611299698E-2</v>
      </c>
      <c r="AY49">
        <f t="shared" si="21"/>
        <v>-3.0867453220925021E-3</v>
      </c>
      <c r="AZ49">
        <f t="shared" si="22"/>
        <v>6.7580791631521038</v>
      </c>
      <c r="BC49" t="s">
        <v>315</v>
      </c>
      <c r="BD49" s="27" t="s">
        <v>664</v>
      </c>
      <c r="BE49" s="9">
        <v>1</v>
      </c>
      <c r="BF49">
        <f>BE49/BE59*100</f>
        <v>3.6670333700036667E-2</v>
      </c>
      <c r="BG49">
        <f t="shared" si="23"/>
        <v>3.667033370003667E-4</v>
      </c>
      <c r="BH49">
        <f t="shared" si="24"/>
        <v>1.344713373672045E-7</v>
      </c>
      <c r="BI49">
        <f t="shared" si="25"/>
        <v>-7.9109573828455888</v>
      </c>
      <c r="BJ49">
        <f t="shared" si="26"/>
        <v>-2.9009744711571651E-3</v>
      </c>
      <c r="BK49">
        <f t="shared" si="27"/>
        <v>-7.2391646440770696E-4</v>
      </c>
      <c r="BL49">
        <f t="shared" si="28"/>
        <v>6.8259753385975239</v>
      </c>
      <c r="BO49" t="s">
        <v>305</v>
      </c>
      <c r="BP49" t="s">
        <v>233</v>
      </c>
      <c r="BR49">
        <v>1</v>
      </c>
      <c r="BU49">
        <f t="shared" si="29"/>
        <v>1</v>
      </c>
      <c r="BV49">
        <f>BU49/BU67*100</f>
        <v>1.9561815336463225E-2</v>
      </c>
      <c r="BW49">
        <f t="shared" si="30"/>
        <v>1.9561815336463224E-4</v>
      </c>
      <c r="BX49">
        <f t="shared" si="31"/>
        <v>3.8266461925788778E-8</v>
      </c>
      <c r="BY49">
        <f t="shared" si="32"/>
        <v>-8.5393459960573708</v>
      </c>
      <c r="BZ49">
        <f t="shared" si="33"/>
        <v>-1.670451094690409E-3</v>
      </c>
      <c r="CA49">
        <f t="shared" si="34"/>
        <v>-4.0318531860664115E-4</v>
      </c>
      <c r="CB49">
        <f t="shared" si="35"/>
        <v>7.2605091805186834</v>
      </c>
      <c r="CD49" t="s">
        <v>576</v>
      </c>
      <c r="CE49" s="1" t="s">
        <v>257</v>
      </c>
      <c r="CF49">
        <v>3</v>
      </c>
      <c r="CJ49">
        <f t="shared" si="36"/>
        <v>3</v>
      </c>
      <c r="CK49">
        <f>CJ49/CJ56*100</f>
        <v>5.3763440860215055E-2</v>
      </c>
      <c r="CL49">
        <f t="shared" si="37"/>
        <v>5.3763440860215054E-4</v>
      </c>
      <c r="CM49">
        <f t="shared" si="38"/>
        <v>2.8905075731298418E-7</v>
      </c>
      <c r="CN49">
        <f t="shared" si="39"/>
        <v>-7.5283317667072467</v>
      </c>
      <c r="CO49">
        <f t="shared" si="40"/>
        <v>-4.0474901971544333E-3</v>
      </c>
      <c r="CP49">
        <f t="shared" si="41"/>
        <v>-1.0243585274480513E-3</v>
      </c>
      <c r="CQ49">
        <f t="shared" si="42"/>
        <v>5.9117109920543012</v>
      </c>
      <c r="CT49" t="s">
        <v>303</v>
      </c>
      <c r="CU49" t="s">
        <v>283</v>
      </c>
      <c r="CV49">
        <v>2</v>
      </c>
      <c r="CY49">
        <v>11</v>
      </c>
      <c r="CZ49">
        <f t="shared" si="43"/>
        <v>13</v>
      </c>
      <c r="DA49">
        <f>CZ49/CZ72*100</f>
        <v>0.21782841823056301</v>
      </c>
      <c r="DB49">
        <f t="shared" si="81"/>
        <v>2.1782841823056302E-3</v>
      </c>
      <c r="DC49" s="2">
        <f t="shared" si="44"/>
        <v>4.7449219788829082E-6</v>
      </c>
      <c r="DD49">
        <f t="shared" si="45"/>
        <v>-12.258435568844121</v>
      </c>
      <c r="DE49">
        <f t="shared" si="46"/>
        <v>-2.670235629942587E-2</v>
      </c>
      <c r="DF49">
        <f t="shared" si="47"/>
        <v>-6.3283108279835239E-3</v>
      </c>
      <c r="DG49">
        <f t="shared" si="48"/>
        <v>7.7063160745129649</v>
      </c>
      <c r="ER49">
        <f>STDEV(ER4:ER47)</f>
        <v>7.8075233503273431E-2</v>
      </c>
      <c r="ES49">
        <f>STDEV(ES4:ES47)</f>
        <v>2.0631955862748873E-2</v>
      </c>
      <c r="ET49">
        <f>STDEV(ET4:ET47)</f>
        <v>3.5937868777500142E-15</v>
      </c>
      <c r="FB49" s="3">
        <f>SUM(FB4:FB48)</f>
        <v>608</v>
      </c>
      <c r="FG49" s="3">
        <f>SUM(FG4:FG48)</f>
        <v>-3.0208962035041185</v>
      </c>
      <c r="FH49" s="3">
        <f t="shared" si="76"/>
        <v>-0.79358130951251959</v>
      </c>
      <c r="FI49" s="3">
        <f t="shared" si="77"/>
        <v>6.8640873002990608</v>
      </c>
    </row>
    <row r="50" spans="23:165" x14ac:dyDescent="0.25">
      <c r="W50" t="s">
        <v>568</v>
      </c>
      <c r="X50" s="1" t="s">
        <v>218</v>
      </c>
      <c r="Y50">
        <v>1</v>
      </c>
      <c r="AC50" s="9">
        <f t="shared" si="84"/>
        <v>1</v>
      </c>
      <c r="AD50">
        <f>AC50/AC53*100</f>
        <v>9.1743119266055051E-2</v>
      </c>
      <c r="AE50">
        <f t="shared" si="78"/>
        <v>9.1324200913242006E-4</v>
      </c>
      <c r="AF50">
        <f t="shared" si="12"/>
        <v>8.3401096724421924E-7</v>
      </c>
      <c r="AG50">
        <f t="shared" si="13"/>
        <v>-6.9985096422506015</v>
      </c>
      <c r="AH50">
        <f t="shared" si="14"/>
        <v>-6.3913330066215539E-3</v>
      </c>
      <c r="AI50">
        <f t="shared" si="15"/>
        <v>-1.6255382622837875E-3</v>
      </c>
      <c r="AJ50">
        <f t="shared" si="16"/>
        <v>7.1443782399249294</v>
      </c>
      <c r="AL50" t="s">
        <v>303</v>
      </c>
      <c r="AM50" s="1" t="s">
        <v>159</v>
      </c>
      <c r="AN50">
        <v>1</v>
      </c>
      <c r="AO50">
        <f>AN50/AN51*100</f>
        <v>9.5510983763132759E-2</v>
      </c>
      <c r="AP50">
        <v>1</v>
      </c>
      <c r="AU50">
        <f t="shared" si="17"/>
        <v>9.5419847328244271E-4</v>
      </c>
      <c r="AV50">
        <f t="shared" si="18"/>
        <v>9.1049472641454453E-7</v>
      </c>
      <c r="AW50">
        <f t="shared" si="19"/>
        <v>-6.9546388648809874</v>
      </c>
      <c r="AX50">
        <f t="shared" si="20"/>
        <v>-6.6361057871001782E-3</v>
      </c>
      <c r="AY50">
        <f t="shared" si="21"/>
        <v>-1.7142240272209088E-3</v>
      </c>
      <c r="AZ50">
        <f t="shared" si="22"/>
        <v>6.7580791631521038</v>
      </c>
      <c r="BC50" t="s">
        <v>320</v>
      </c>
      <c r="BD50" s="27" t="s">
        <v>665</v>
      </c>
      <c r="BE50" s="9">
        <v>3</v>
      </c>
      <c r="BF50">
        <f>BE50/BE59*100</f>
        <v>0.11001100110011</v>
      </c>
      <c r="BG50">
        <f t="shared" si="23"/>
        <v>1.1001100110011001E-3</v>
      </c>
      <c r="BH50">
        <f t="shared" si="24"/>
        <v>1.2102420363048405E-6</v>
      </c>
      <c r="BI50">
        <f t="shared" si="25"/>
        <v>-6.8123450941774788</v>
      </c>
      <c r="BJ50">
        <f t="shared" si="26"/>
        <v>-7.4943290364988761E-3</v>
      </c>
      <c r="BK50">
        <f t="shared" si="27"/>
        <v>-1.8701537132266477E-3</v>
      </c>
      <c r="BL50">
        <f t="shared" si="28"/>
        <v>6.8259753385975239</v>
      </c>
      <c r="BO50" t="s">
        <v>303</v>
      </c>
      <c r="BP50" t="s">
        <v>232</v>
      </c>
      <c r="BR50">
        <v>1</v>
      </c>
      <c r="BU50">
        <f t="shared" si="29"/>
        <v>1</v>
      </c>
      <c r="BV50">
        <f>BU50/BU67*100</f>
        <v>1.9561815336463225E-2</v>
      </c>
      <c r="BW50">
        <f t="shared" si="30"/>
        <v>1.9561815336463224E-4</v>
      </c>
      <c r="BX50">
        <f t="shared" si="31"/>
        <v>3.8266461925788778E-8</v>
      </c>
      <c r="BY50">
        <f t="shared" si="32"/>
        <v>-8.5393459960573708</v>
      </c>
      <c r="BZ50">
        <f t="shared" si="33"/>
        <v>-1.670451094690409E-3</v>
      </c>
      <c r="CA50">
        <f t="shared" si="34"/>
        <v>-4.0318531860664115E-4</v>
      </c>
      <c r="CB50">
        <f t="shared" si="35"/>
        <v>7.2605091805186834</v>
      </c>
      <c r="CD50" t="s">
        <v>568</v>
      </c>
      <c r="CE50" s="1" t="s">
        <v>258</v>
      </c>
      <c r="CG50">
        <v>1</v>
      </c>
      <c r="CJ50">
        <f t="shared" si="36"/>
        <v>1</v>
      </c>
      <c r="CK50">
        <f>CJ50/CJ56*100</f>
        <v>1.7921146953405017E-2</v>
      </c>
      <c r="CL50">
        <f t="shared" si="37"/>
        <v>1.7921146953405018E-4</v>
      </c>
      <c r="CM50">
        <f t="shared" si="38"/>
        <v>3.2116750812553798E-8</v>
      </c>
      <c r="CN50">
        <f t="shared" si="39"/>
        <v>-8.6269440553753558</v>
      </c>
      <c r="CO50">
        <f t="shared" si="40"/>
        <v>-1.5460473217518559E-3</v>
      </c>
      <c r="CP50">
        <f t="shared" si="41"/>
        <v>-3.9128118432211432E-4</v>
      </c>
      <c r="CQ50">
        <f t="shared" si="42"/>
        <v>5.9117109920543012</v>
      </c>
      <c r="CT50" t="s">
        <v>303</v>
      </c>
      <c r="CU50" t="s">
        <v>285</v>
      </c>
      <c r="CV50">
        <v>6</v>
      </c>
      <c r="CW50">
        <v>6</v>
      </c>
      <c r="CY50">
        <v>1</v>
      </c>
      <c r="CZ50">
        <f t="shared" si="43"/>
        <v>13</v>
      </c>
      <c r="DA50">
        <f>CZ50/CZ72*100</f>
        <v>0.21782841823056301</v>
      </c>
      <c r="DB50">
        <f t="shared" si="81"/>
        <v>2.1782841823056302E-3</v>
      </c>
      <c r="DC50" s="2">
        <f t="shared" si="44"/>
        <v>4.7449219788829082E-6</v>
      </c>
      <c r="DD50">
        <f t="shared" si="45"/>
        <v>-12.258435568844121</v>
      </c>
      <c r="DE50">
        <f t="shared" si="46"/>
        <v>-2.670235629942587E-2</v>
      </c>
      <c r="DF50">
        <f t="shared" si="47"/>
        <v>-6.3283108279835239E-3</v>
      </c>
      <c r="DG50">
        <f t="shared" si="48"/>
        <v>7.7063160745129649</v>
      </c>
      <c r="FG50">
        <f>STDEV(FG4:FG48)</f>
        <v>6.8327172043742793E-2</v>
      </c>
      <c r="FH50">
        <f t="shared" si="76"/>
        <v>1.7949364365072832E-2</v>
      </c>
      <c r="FI50">
        <f>STDEV(FI4:FI48)</f>
        <v>7.1857172208557295E-15</v>
      </c>
    </row>
    <row r="51" spans="23:165" x14ac:dyDescent="0.25">
      <c r="W51" t="s">
        <v>305</v>
      </c>
      <c r="X51" s="1" t="s">
        <v>177</v>
      </c>
      <c r="AB51">
        <v>2</v>
      </c>
      <c r="AC51" s="9">
        <v>2</v>
      </c>
      <c r="AD51">
        <f>AC51/AC53*100</f>
        <v>0.1834862385321101</v>
      </c>
      <c r="AE51">
        <f t="shared" si="78"/>
        <v>1.8264840182648401E-3</v>
      </c>
      <c r="AF51">
        <f t="shared" si="12"/>
        <v>3.336043868976877E-6</v>
      </c>
      <c r="AG51">
        <f t="shared" si="13"/>
        <v>-6.3053624616906561</v>
      </c>
      <c r="AH51">
        <f t="shared" si="14"/>
        <v>-1.1516643765645034E-2</v>
      </c>
      <c r="AI51">
        <f t="shared" si="15"/>
        <v>-2.929083037099297E-3</v>
      </c>
      <c r="AJ51">
        <f t="shared" si="16"/>
        <v>7.1443782399249294</v>
      </c>
      <c r="AN51" s="3">
        <f>SUM(AN4:AN50)</f>
        <v>1047</v>
      </c>
      <c r="AX51" s="3">
        <f>SUM(AX4:AX50)</f>
        <v>-2.9475770526363663</v>
      </c>
      <c r="AY51">
        <f>SUM(AY4:AY50)</f>
        <v>-0.76141152172955362</v>
      </c>
      <c r="AZ51">
        <f t="shared" si="22"/>
        <v>6.7580791631521038</v>
      </c>
      <c r="BC51" t="s">
        <v>319</v>
      </c>
      <c r="BD51" s="27" t="s">
        <v>666</v>
      </c>
      <c r="BE51" s="9">
        <v>19</v>
      </c>
      <c r="BF51">
        <f>BE51/BE59*100</f>
        <v>0.69673634030069675</v>
      </c>
      <c r="BG51">
        <f t="shared" si="23"/>
        <v>6.9673634030069671E-3</v>
      </c>
      <c r="BH51">
        <f t="shared" si="24"/>
        <v>4.8544152789560824E-5</v>
      </c>
      <c r="BI51">
        <f t="shared" si="25"/>
        <v>-4.9665184036791485</v>
      </c>
      <c r="BJ51">
        <f t="shared" si="26"/>
        <v>-3.4603538566154682E-2</v>
      </c>
      <c r="BK51">
        <f t="shared" si="27"/>
        <v>-8.6350540288671514E-3</v>
      </c>
      <c r="BL51">
        <f t="shared" si="28"/>
        <v>6.8259753385975239</v>
      </c>
      <c r="BO51" t="s">
        <v>303</v>
      </c>
      <c r="BP51" t="s">
        <v>231</v>
      </c>
      <c r="BR51">
        <v>2</v>
      </c>
      <c r="BU51">
        <f t="shared" si="29"/>
        <v>2</v>
      </c>
      <c r="BV51">
        <f>BU51/BU67*100</f>
        <v>3.912363067292645E-2</v>
      </c>
      <c r="BW51">
        <f t="shared" si="30"/>
        <v>3.9123630672926448E-4</v>
      </c>
      <c r="BX51">
        <f t="shared" si="31"/>
        <v>1.5306584770315511E-7</v>
      </c>
      <c r="BY51">
        <f t="shared" si="32"/>
        <v>-7.8461988154974254</v>
      </c>
      <c r="BZ51">
        <f t="shared" si="33"/>
        <v>-3.0697178464387425E-3</v>
      </c>
      <c r="CA51">
        <f t="shared" si="34"/>
        <v>-7.4091673314044418E-4</v>
      </c>
      <c r="CB51">
        <f t="shared" si="35"/>
        <v>7.2605091805186834</v>
      </c>
      <c r="CD51" t="s">
        <v>568</v>
      </c>
      <c r="CE51" s="1" t="s">
        <v>259</v>
      </c>
      <c r="CG51">
        <v>2</v>
      </c>
      <c r="CJ51">
        <f t="shared" si="36"/>
        <v>2</v>
      </c>
      <c r="CK51">
        <f>CJ51/CJ56*100</f>
        <v>3.5842293906810034E-2</v>
      </c>
      <c r="CL51">
        <f t="shared" si="37"/>
        <v>3.5842293906810036E-4</v>
      </c>
      <c r="CM51">
        <f t="shared" si="38"/>
        <v>1.2846700325021519E-7</v>
      </c>
      <c r="CN51">
        <f t="shared" si="39"/>
        <v>-7.9337968748154113</v>
      </c>
      <c r="CO51">
        <f t="shared" si="40"/>
        <v>-2.8436547938406492E-3</v>
      </c>
      <c r="CP51">
        <f t="shared" si="41"/>
        <v>-7.1968600176897611E-4</v>
      </c>
      <c r="CQ51">
        <f t="shared" si="42"/>
        <v>5.9117109920543012</v>
      </c>
      <c r="CT51" t="s">
        <v>303</v>
      </c>
      <c r="CU51" s="1" t="s">
        <v>286</v>
      </c>
      <c r="CV51">
        <v>4</v>
      </c>
      <c r="CW51">
        <v>3</v>
      </c>
      <c r="CZ51">
        <f t="shared" si="43"/>
        <v>7</v>
      </c>
      <c r="DA51">
        <f>CZ51/CZ72*100</f>
        <v>0.11729222520107238</v>
      </c>
      <c r="DB51">
        <f t="shared" si="81"/>
        <v>1.1729222520107238E-3</v>
      </c>
      <c r="DC51" s="2">
        <f t="shared" si="44"/>
        <v>1.3757466092619079E-6</v>
      </c>
      <c r="DD51">
        <f t="shared" si="45"/>
        <v>-13.496513985656566</v>
      </c>
      <c r="DE51">
        <f t="shared" si="46"/>
        <v>-1.5830361578350528E-2</v>
      </c>
      <c r="DF51">
        <f t="shared" si="47"/>
        <v>-3.7517081812485577E-3</v>
      </c>
      <c r="DG51">
        <f t="shared" si="48"/>
        <v>7.7063160745129649</v>
      </c>
    </row>
    <row r="52" spans="23:165" x14ac:dyDescent="0.25">
      <c r="W52" t="s">
        <v>303</v>
      </c>
      <c r="X52" t="s">
        <v>219</v>
      </c>
      <c r="Y52">
        <v>1</v>
      </c>
      <c r="AC52">
        <v>1</v>
      </c>
      <c r="AD52">
        <f>AC52/AC53*100</f>
        <v>9.1743119266055051E-2</v>
      </c>
      <c r="AE52">
        <f t="shared" si="78"/>
        <v>9.1324200913242006E-4</v>
      </c>
      <c r="AF52">
        <f t="shared" si="12"/>
        <v>8.3401096724421924E-7</v>
      </c>
      <c r="AG52">
        <f t="shared" si="13"/>
        <v>-6.9985096422506015</v>
      </c>
      <c r="AH52">
        <f t="shared" si="14"/>
        <v>-6.3913330066215539E-3</v>
      </c>
      <c r="AI52">
        <f t="shared" si="15"/>
        <v>-1.6255382622837875E-3</v>
      </c>
      <c r="AJ52">
        <f t="shared" si="16"/>
        <v>7.1443782399249294</v>
      </c>
      <c r="AX52">
        <f>STDEV(AX4:AX50)</f>
        <v>7.3651550375136696E-2</v>
      </c>
      <c r="AY52">
        <f>STDEV(AY4:AY50)</f>
        <v>1.9025504014802817E-2</v>
      </c>
      <c r="AZ52">
        <f>STDEV(AZ4:AZ50)</f>
        <v>0</v>
      </c>
      <c r="BC52" t="s">
        <v>315</v>
      </c>
      <c r="BD52" s="26" t="s">
        <v>64</v>
      </c>
      <c r="BE52" s="9">
        <v>1</v>
      </c>
      <c r="BF52">
        <f>BE52/BE59*100</f>
        <v>3.6670333700036667E-2</v>
      </c>
      <c r="BG52">
        <f t="shared" si="23"/>
        <v>3.667033370003667E-4</v>
      </c>
      <c r="BH52">
        <f t="shared" si="24"/>
        <v>1.344713373672045E-7</v>
      </c>
      <c r="BI52">
        <f t="shared" si="25"/>
        <v>-7.9109573828455888</v>
      </c>
      <c r="BJ52">
        <f t="shared" si="26"/>
        <v>-2.9009744711571651E-3</v>
      </c>
      <c r="BK52">
        <f t="shared" si="27"/>
        <v>-7.2391646440770696E-4</v>
      </c>
      <c r="BL52">
        <f t="shared" si="28"/>
        <v>6.8259753385975239</v>
      </c>
      <c r="BO52" t="s">
        <v>315</v>
      </c>
      <c r="BP52" t="s">
        <v>230</v>
      </c>
      <c r="BR52">
        <v>4</v>
      </c>
      <c r="BU52">
        <f t="shared" si="29"/>
        <v>4</v>
      </c>
      <c r="BV52">
        <f>BU52/BU67*100</f>
        <v>7.82472613458529E-2</v>
      </c>
      <c r="BW52">
        <f t="shared" si="30"/>
        <v>7.8247261345852897E-4</v>
      </c>
      <c r="BX52">
        <f t="shared" si="31"/>
        <v>6.1226339081262045E-7</v>
      </c>
      <c r="BY52">
        <f t="shared" si="32"/>
        <v>-7.15305163493748</v>
      </c>
      <c r="BZ52">
        <f t="shared" si="33"/>
        <v>-5.5970670069933337E-3</v>
      </c>
      <c r="CA52">
        <f t="shared" si="34"/>
        <v>-1.3509256581352123E-3</v>
      </c>
      <c r="CB52">
        <f t="shared" si="35"/>
        <v>7.2605091805186834</v>
      </c>
      <c r="CD52" t="s">
        <v>303</v>
      </c>
      <c r="CE52" s="1" t="s">
        <v>265</v>
      </c>
      <c r="CH52">
        <v>3</v>
      </c>
      <c r="CJ52">
        <f t="shared" si="36"/>
        <v>3</v>
      </c>
      <c r="CK52">
        <f>CJ52/CJ56*100</f>
        <v>5.3763440860215055E-2</v>
      </c>
      <c r="CL52">
        <f t="shared" si="37"/>
        <v>5.3763440860215054E-4</v>
      </c>
      <c r="CM52">
        <f t="shared" si="38"/>
        <v>2.8905075731298418E-7</v>
      </c>
      <c r="CN52">
        <f t="shared" si="39"/>
        <v>-7.5283317667072467</v>
      </c>
      <c r="CO52">
        <f t="shared" si="40"/>
        <v>-4.0474901971544333E-3</v>
      </c>
      <c r="CP52">
        <f t="shared" si="41"/>
        <v>-1.0243585274480513E-3</v>
      </c>
      <c r="CQ52">
        <f t="shared" si="42"/>
        <v>5.9117109920543012</v>
      </c>
      <c r="CT52" t="s">
        <v>568</v>
      </c>
      <c r="CU52" s="1" t="s">
        <v>287</v>
      </c>
      <c r="CV52">
        <v>4</v>
      </c>
      <c r="CW52">
        <v>17</v>
      </c>
      <c r="CY52">
        <v>1</v>
      </c>
      <c r="CZ52">
        <f t="shared" si="43"/>
        <v>22</v>
      </c>
      <c r="DA52">
        <f>CZ52/CZ72*100</f>
        <v>0.3686327077747989</v>
      </c>
      <c r="DB52">
        <f t="shared" si="81"/>
        <v>3.6863270777479891E-3</v>
      </c>
      <c r="DC52" s="2">
        <f t="shared" si="44"/>
        <v>1.3589007324138029E-5</v>
      </c>
      <c r="DD52">
        <f t="shared" si="45"/>
        <v>-11.206249377050561</v>
      </c>
      <c r="DE52">
        <f t="shared" si="46"/>
        <v>-4.130990051861802E-2</v>
      </c>
      <c r="DF52">
        <f t="shared" si="47"/>
        <v>-9.7902180550453327E-3</v>
      </c>
      <c r="DG52">
        <f t="shared" si="48"/>
        <v>7.7063160745129649</v>
      </c>
    </row>
    <row r="53" spans="23:165" x14ac:dyDescent="0.25">
      <c r="AC53" s="3">
        <f>SUM(AC4:AC52)</f>
        <v>1090</v>
      </c>
      <c r="AH53" s="3">
        <f>SUM(AH4:AH52)</f>
        <v>-3.0532529046210333</v>
      </c>
      <c r="AI53" s="3">
        <f>SUM(AI4:AI52)</f>
        <v>-0.77654840011444215</v>
      </c>
      <c r="AJ53">
        <f t="shared" si="16"/>
        <v>7.1443782399249294</v>
      </c>
      <c r="BC53" t="s">
        <v>303</v>
      </c>
      <c r="BD53" s="27" t="s">
        <v>667</v>
      </c>
      <c r="BE53" s="9">
        <v>15</v>
      </c>
      <c r="BF53">
        <f>BE53/BE59*100</f>
        <v>0.55005500550055009</v>
      </c>
      <c r="BG53">
        <f t="shared" si="23"/>
        <v>5.5005500550055009E-3</v>
      </c>
      <c r="BH53">
        <f t="shared" si="24"/>
        <v>3.0256050907621021E-5</v>
      </c>
      <c r="BI53">
        <f t="shared" si="25"/>
        <v>-5.2029071817433783</v>
      </c>
      <c r="BJ53">
        <f t="shared" si="26"/>
        <v>-2.8618851384727056E-2</v>
      </c>
      <c r="BK53">
        <f t="shared" si="27"/>
        <v>-7.1416201403444908E-3</v>
      </c>
      <c r="BL53">
        <f t="shared" si="28"/>
        <v>6.8259753385975239</v>
      </c>
      <c r="BO53" t="s">
        <v>303</v>
      </c>
      <c r="BP53" t="s">
        <v>110</v>
      </c>
      <c r="BR53">
        <v>1</v>
      </c>
      <c r="BT53">
        <v>1</v>
      </c>
      <c r="BU53">
        <f t="shared" si="29"/>
        <v>2</v>
      </c>
      <c r="BV53">
        <f>BU53/BU67*100</f>
        <v>3.912363067292645E-2</v>
      </c>
      <c r="BW53">
        <f t="shared" si="30"/>
        <v>3.9123630672926448E-4</v>
      </c>
      <c r="BX53">
        <f t="shared" si="31"/>
        <v>1.5306584770315511E-7</v>
      </c>
      <c r="BY53">
        <f t="shared" si="32"/>
        <v>-7.8461988154974254</v>
      </c>
      <c r="BZ53">
        <f t="shared" si="33"/>
        <v>-3.0697178464387425E-3</v>
      </c>
      <c r="CA53">
        <f t="shared" si="34"/>
        <v>-7.4091673314044418E-4</v>
      </c>
      <c r="CB53">
        <f t="shared" si="35"/>
        <v>7.2605091805186834</v>
      </c>
      <c r="CD53" t="s">
        <v>315</v>
      </c>
      <c r="CE53" s="1" t="s">
        <v>266</v>
      </c>
      <c r="CH53">
        <v>1</v>
      </c>
      <c r="CJ53">
        <f t="shared" si="36"/>
        <v>1</v>
      </c>
      <c r="CK53">
        <f>CJ53/CJ56*100</f>
        <v>1.7921146953405017E-2</v>
      </c>
      <c r="CL53">
        <f t="shared" si="37"/>
        <v>1.7921146953405018E-4</v>
      </c>
      <c r="CM53">
        <f t="shared" si="38"/>
        <v>3.2116750812553798E-8</v>
      </c>
      <c r="CN53">
        <f t="shared" si="39"/>
        <v>-8.6269440553753558</v>
      </c>
      <c r="CO53">
        <f t="shared" si="40"/>
        <v>-1.5460473217518559E-3</v>
      </c>
      <c r="CP53">
        <f t="shared" si="41"/>
        <v>-3.9128118432211432E-4</v>
      </c>
      <c r="CQ53">
        <f t="shared" si="42"/>
        <v>5.9117109920543012</v>
      </c>
      <c r="CT53" t="s">
        <v>303</v>
      </c>
      <c r="CU53" s="1" t="s">
        <v>288</v>
      </c>
      <c r="CV53">
        <v>1</v>
      </c>
      <c r="CY53">
        <v>1</v>
      </c>
      <c r="CZ53">
        <f t="shared" si="43"/>
        <v>2</v>
      </c>
      <c r="DA53">
        <f>CZ53/CZ72*100</f>
        <v>3.351206434316354E-2</v>
      </c>
      <c r="DB53">
        <f t="shared" si="81"/>
        <v>3.351206434316354E-4</v>
      </c>
      <c r="DC53" s="2">
        <f t="shared" si="44"/>
        <v>1.1230584565403331E-7</v>
      </c>
      <c r="DD53">
        <f t="shared" si="45"/>
        <v>-16.002039922647302</v>
      </c>
      <c r="DE53">
        <f t="shared" si="46"/>
        <v>-5.3626139150962813E-3</v>
      </c>
      <c r="DF53">
        <f t="shared" si="47"/>
        <v>-1.2709098524735282E-3</v>
      </c>
      <c r="DG53">
        <f t="shared" si="48"/>
        <v>7.7063160745129649</v>
      </c>
    </row>
    <row r="54" spans="23:165" x14ac:dyDescent="0.25">
      <c r="AH54">
        <f>STDEV(AH4:AH52)</f>
        <v>6.9203898094076413E-2</v>
      </c>
      <c r="AI54">
        <f>STDEV(AI4:AI52)</f>
        <v>1.7600958068459866E-2</v>
      </c>
      <c r="AJ54">
        <f>STDEV(AJ4:AJ52)</f>
        <v>1.7947651739579931E-15</v>
      </c>
      <c r="BC54" t="s">
        <v>303</v>
      </c>
      <c r="BD54" s="27" t="s">
        <v>668</v>
      </c>
      <c r="BE54" s="9">
        <v>6</v>
      </c>
      <c r="BF54">
        <f>BE54/BE59*100</f>
        <v>0.22002200220022</v>
      </c>
      <c r="BG54">
        <f t="shared" si="23"/>
        <v>2.2002200220022001E-3</v>
      </c>
      <c r="BH54">
        <f t="shared" si="24"/>
        <v>4.8409681452193619E-6</v>
      </c>
      <c r="BI54">
        <f t="shared" si="25"/>
        <v>-6.1191979136175334</v>
      </c>
      <c r="BJ54">
        <f t="shared" si="26"/>
        <v>-1.3463581768135386E-2</v>
      </c>
      <c r="BK54">
        <f t="shared" si="27"/>
        <v>-3.3597360503365144E-3</v>
      </c>
      <c r="BL54">
        <f t="shared" si="28"/>
        <v>6.8259753385975239</v>
      </c>
      <c r="BO54" t="s">
        <v>305</v>
      </c>
      <c r="BP54" s="1" t="s">
        <v>177</v>
      </c>
      <c r="BR54">
        <v>1</v>
      </c>
      <c r="BU54">
        <f t="shared" si="29"/>
        <v>1</v>
      </c>
      <c r="BV54">
        <f>BU54/BU67*100</f>
        <v>1.9561815336463225E-2</v>
      </c>
      <c r="BW54">
        <f t="shared" si="30"/>
        <v>1.9561815336463224E-4</v>
      </c>
      <c r="BX54">
        <f t="shared" si="31"/>
        <v>3.8266461925788778E-8</v>
      </c>
      <c r="BY54">
        <f t="shared" si="32"/>
        <v>-8.5393459960573708</v>
      </c>
      <c r="BZ54">
        <f t="shared" si="33"/>
        <v>-1.670451094690409E-3</v>
      </c>
      <c r="CA54">
        <f t="shared" si="34"/>
        <v>-4.0318531860664115E-4</v>
      </c>
      <c r="CB54">
        <f t="shared" si="35"/>
        <v>7.2605091805186834</v>
      </c>
      <c r="CD54" t="s">
        <v>315</v>
      </c>
      <c r="CE54" s="1" t="s">
        <v>268</v>
      </c>
      <c r="CI54">
        <v>4</v>
      </c>
      <c r="CJ54">
        <f t="shared" si="36"/>
        <v>4</v>
      </c>
      <c r="CK54">
        <f>CJ54/CJ56*100</f>
        <v>7.1684587813620068E-2</v>
      </c>
      <c r="CL54">
        <f t="shared" si="37"/>
        <v>7.1684587813620072E-4</v>
      </c>
      <c r="CM54">
        <f t="shared" si="38"/>
        <v>5.1386801300086077E-7</v>
      </c>
      <c r="CN54">
        <f t="shared" si="39"/>
        <v>-7.2406496942554659</v>
      </c>
      <c r="CO54">
        <f t="shared" si="40"/>
        <v>-5.1904298883551723E-3</v>
      </c>
      <c r="CP54">
        <f t="shared" si="41"/>
        <v>-1.3136192697874472E-3</v>
      </c>
      <c r="CQ54">
        <f t="shared" si="42"/>
        <v>5.9117109920543012</v>
      </c>
      <c r="CT54" t="s">
        <v>303</v>
      </c>
      <c r="CU54" s="1" t="s">
        <v>289</v>
      </c>
      <c r="CV54">
        <v>1</v>
      </c>
      <c r="CW54">
        <v>2</v>
      </c>
      <c r="CZ54">
        <f t="shared" si="43"/>
        <v>3</v>
      </c>
      <c r="DA54">
        <f>CZ54/CZ72*100</f>
        <v>5.0268096514745307E-2</v>
      </c>
      <c r="DB54">
        <f t="shared" si="81"/>
        <v>5.0268096514745309E-4</v>
      </c>
      <c r="DC54" s="2">
        <f t="shared" si="44"/>
        <v>2.5268815272157497E-7</v>
      </c>
      <c r="DD54">
        <f t="shared" si="45"/>
        <v>-15.191109706430973</v>
      </c>
      <c r="DE54">
        <f t="shared" si="46"/>
        <v>-7.6362816888895643E-3</v>
      </c>
      <c r="DF54">
        <f t="shared" si="47"/>
        <v>-1.8097565456562791E-3</v>
      </c>
      <c r="DG54">
        <f t="shared" si="48"/>
        <v>7.7063160745129649</v>
      </c>
    </row>
    <row r="55" spans="23:165" x14ac:dyDescent="0.25">
      <c r="BC55" t="s">
        <v>315</v>
      </c>
      <c r="BD55" s="27" t="s">
        <v>99</v>
      </c>
      <c r="BE55" s="9">
        <v>19</v>
      </c>
      <c r="BF55">
        <f>BE55/BE59*100</f>
        <v>0.69673634030069675</v>
      </c>
      <c r="BG55">
        <f t="shared" si="23"/>
        <v>6.9673634030069671E-3</v>
      </c>
      <c r="BH55">
        <f t="shared" si="24"/>
        <v>4.8544152789560824E-5</v>
      </c>
      <c r="BI55">
        <f t="shared" si="25"/>
        <v>-4.9665184036791485</v>
      </c>
      <c r="BJ55">
        <f t="shared" si="26"/>
        <v>-3.4603538566154682E-2</v>
      </c>
      <c r="BK55">
        <f t="shared" si="27"/>
        <v>-8.6350540288671514E-3</v>
      </c>
      <c r="BL55">
        <f t="shared" si="28"/>
        <v>6.8259753385975239</v>
      </c>
      <c r="BO55" t="s">
        <v>303</v>
      </c>
      <c r="BP55" s="1" t="s">
        <v>243</v>
      </c>
      <c r="BS55">
        <v>1</v>
      </c>
      <c r="BU55">
        <f t="shared" si="29"/>
        <v>1</v>
      </c>
      <c r="BV55">
        <f>BU55/BU67*100</f>
        <v>1.9561815336463225E-2</v>
      </c>
      <c r="BW55">
        <f t="shared" si="30"/>
        <v>1.9561815336463224E-4</v>
      </c>
      <c r="BX55">
        <f t="shared" si="31"/>
        <v>3.8266461925788778E-8</v>
      </c>
      <c r="BY55">
        <f t="shared" si="32"/>
        <v>-8.5393459960573708</v>
      </c>
      <c r="BZ55">
        <f t="shared" si="33"/>
        <v>-1.670451094690409E-3</v>
      </c>
      <c r="CA55">
        <f t="shared" si="34"/>
        <v>-4.0318531860664115E-4</v>
      </c>
      <c r="CB55">
        <f t="shared" si="35"/>
        <v>7.2605091805186834</v>
      </c>
      <c r="CD55" t="s">
        <v>305</v>
      </c>
      <c r="CE55" t="s">
        <v>233</v>
      </c>
      <c r="CG55">
        <v>3</v>
      </c>
      <c r="CI55">
        <v>2</v>
      </c>
      <c r="CJ55">
        <f t="shared" si="36"/>
        <v>5</v>
      </c>
      <c r="CK55">
        <f>CJ55/CJ56*100</f>
        <v>8.9605734767025089E-2</v>
      </c>
      <c r="CL55">
        <f t="shared" si="37"/>
        <v>8.960573476702509E-4</v>
      </c>
      <c r="CM55">
        <f t="shared" si="38"/>
        <v>8.0291877031384485E-7</v>
      </c>
      <c r="CN55">
        <f>LN(CL55)</f>
        <v>-7.0175061429412562</v>
      </c>
      <c r="CO55">
        <f t="shared" si="40"/>
        <v>-6.2880879417036347E-3</v>
      </c>
      <c r="CP55">
        <f t="shared" si="41"/>
        <v>-1.591419914730337E-3</v>
      </c>
      <c r="CQ55">
        <f t="shared" si="42"/>
        <v>5.9117109920543012</v>
      </c>
      <c r="CT55" t="s">
        <v>303</v>
      </c>
      <c r="CU55" s="1" t="s">
        <v>290</v>
      </c>
      <c r="CV55">
        <v>1</v>
      </c>
      <c r="CZ55">
        <f t="shared" si="43"/>
        <v>1</v>
      </c>
      <c r="DA55">
        <f>CZ55/CZ72*100</f>
        <v>1.675603217158177E-2</v>
      </c>
      <c r="DB55">
        <f t="shared" si="81"/>
        <v>1.675603217158177E-4</v>
      </c>
      <c r="DC55" s="2">
        <f t="shared" si="44"/>
        <v>2.8076461413508327E-8</v>
      </c>
      <c r="DD55">
        <f t="shared" si="45"/>
        <v>-17.388334283767193</v>
      </c>
      <c r="DE55">
        <f t="shared" si="46"/>
        <v>-2.9135948866902133E-3</v>
      </c>
      <c r="DF55">
        <f t="shared" si="47"/>
        <v>-6.9050588131788001E-4</v>
      </c>
      <c r="DG55">
        <f t="shared" si="48"/>
        <v>7.7063160745129649</v>
      </c>
    </row>
    <row r="56" spans="23:165" x14ac:dyDescent="0.25">
      <c r="BC56" t="s">
        <v>305</v>
      </c>
      <c r="BD56" s="27" t="s">
        <v>669</v>
      </c>
      <c r="BE56" s="9">
        <v>30</v>
      </c>
      <c r="BF56">
        <f>BE56/BE59*100</f>
        <v>1.1001100110011002</v>
      </c>
      <c r="BG56">
        <f t="shared" si="23"/>
        <v>1.1001100110011002E-2</v>
      </c>
      <c r="BH56">
        <f t="shared" si="24"/>
        <v>1.2102420363048408E-4</v>
      </c>
      <c r="BI56">
        <f t="shared" si="25"/>
        <v>-4.5097600011834329</v>
      </c>
      <c r="BJ56">
        <f t="shared" si="26"/>
        <v>-4.9612321245142282E-2</v>
      </c>
      <c r="BK56">
        <f t="shared" si="27"/>
        <v>-1.2380383400105076E-2</v>
      </c>
      <c r="BL56">
        <f t="shared" si="28"/>
        <v>6.8259753385975239</v>
      </c>
      <c r="BO56" t="s">
        <v>303</v>
      </c>
      <c r="BP56" t="s">
        <v>244</v>
      </c>
      <c r="BS56">
        <v>4</v>
      </c>
      <c r="BT56">
        <v>1</v>
      </c>
      <c r="BU56">
        <f t="shared" si="29"/>
        <v>5</v>
      </c>
      <c r="BV56">
        <f>BU56/BU67*100</f>
        <v>9.7809076682316115E-2</v>
      </c>
      <c r="BW56">
        <f t="shared" si="30"/>
        <v>9.7809076682316121E-4</v>
      </c>
      <c r="BX56">
        <f t="shared" si="31"/>
        <v>9.5666154814471954E-7</v>
      </c>
      <c r="BY56">
        <f t="shared" si="32"/>
        <v>-6.9299080836232703</v>
      </c>
      <c r="BZ56">
        <f t="shared" si="33"/>
        <v>-6.7780791115251079E-3</v>
      </c>
      <c r="CA56">
        <f t="shared" si="34"/>
        <v>-1.6359784460662429E-3</v>
      </c>
      <c r="CB56">
        <f t="shared" si="35"/>
        <v>7.2605091805186834</v>
      </c>
      <c r="CJ56" s="3">
        <f>SUM(CJ4:CJ55)</f>
        <v>5580</v>
      </c>
      <c r="CO56" s="3">
        <f>SUM(CO4:CO55)</f>
        <v>-2.1400086410174395</v>
      </c>
      <c r="CP56" s="3">
        <f>SUM(CP4:CP55)</f>
        <v>-0.54160380716422729</v>
      </c>
      <c r="CQ56" s="3">
        <f t="shared" si="42"/>
        <v>5.9117109920543012</v>
      </c>
      <c r="CR56" s="3"/>
      <c r="CT56" t="s">
        <v>304</v>
      </c>
      <c r="CU56" s="1" t="s">
        <v>130</v>
      </c>
      <c r="CV56">
        <v>4</v>
      </c>
      <c r="CW56">
        <v>4</v>
      </c>
      <c r="CX56">
        <v>1</v>
      </c>
      <c r="CY56">
        <v>1</v>
      </c>
      <c r="CZ56">
        <f t="shared" si="43"/>
        <v>10</v>
      </c>
      <c r="DA56">
        <f>CZ56/CZ72*100</f>
        <v>0.16756032171581769</v>
      </c>
      <c r="DB56">
        <f t="shared" si="81"/>
        <v>1.675603217158177E-3</v>
      </c>
      <c r="DC56" s="2">
        <f t="shared" si="44"/>
        <v>2.8076461413508326E-6</v>
      </c>
      <c r="DD56">
        <f t="shared" si="45"/>
        <v>-12.783164097779101</v>
      </c>
      <c r="DE56">
        <f t="shared" si="46"/>
        <v>-2.1419510887699566E-2</v>
      </c>
      <c r="DF56">
        <f t="shared" si="47"/>
        <v>-5.0763056698353848E-3</v>
      </c>
      <c r="DG56">
        <f t="shared" si="48"/>
        <v>7.7063160745129649</v>
      </c>
    </row>
    <row r="57" spans="23:165" x14ac:dyDescent="0.25">
      <c r="BC57" t="s">
        <v>305</v>
      </c>
      <c r="BD57" s="27" t="s">
        <v>670</v>
      </c>
      <c r="BE57" s="9">
        <v>5</v>
      </c>
      <c r="BF57">
        <f>BE57/BE59*100</f>
        <v>0.18335166850018336</v>
      </c>
      <c r="BG57">
        <f t="shared" si="23"/>
        <v>1.8335166850018336E-3</v>
      </c>
      <c r="BH57">
        <f t="shared" si="24"/>
        <v>3.3617834341801131E-6</v>
      </c>
      <c r="BI57">
        <f t="shared" si="25"/>
        <v>-6.3015194704114883</v>
      </c>
      <c r="BJ57">
        <f t="shared" si="26"/>
        <v>-1.1553941089863382E-2</v>
      </c>
      <c r="BK57">
        <f t="shared" si="27"/>
        <v>-2.8831995134422847E-3</v>
      </c>
      <c r="BL57">
        <f t="shared" si="28"/>
        <v>6.8259753385975239</v>
      </c>
      <c r="BO57" t="s">
        <v>303</v>
      </c>
      <c r="BP57" t="s">
        <v>245</v>
      </c>
      <c r="BS57">
        <v>3</v>
      </c>
      <c r="BU57">
        <f t="shared" si="29"/>
        <v>3</v>
      </c>
      <c r="BV57">
        <f>BU57/BU67*100</f>
        <v>5.8685446009389672E-2</v>
      </c>
      <c r="BW57">
        <f t="shared" si="30"/>
        <v>5.8685446009389673E-4</v>
      </c>
      <c r="BX57">
        <f t="shared" si="31"/>
        <v>3.4439815733209904E-7</v>
      </c>
      <c r="BY57">
        <f t="shared" si="32"/>
        <v>-7.4407337073892608</v>
      </c>
      <c r="BZ57">
        <f t="shared" si="33"/>
        <v>-4.3666277625523829E-3</v>
      </c>
      <c r="CA57">
        <f t="shared" si="34"/>
        <v>-1.0539429805980511E-3</v>
      </c>
      <c r="CB57">
        <f t="shared" si="35"/>
        <v>7.2605091805186834</v>
      </c>
      <c r="CO57">
        <f>STDEV(CO4:CO55)</f>
        <v>8.1783721779985802E-2</v>
      </c>
      <c r="CP57">
        <f>STDEV(CP4:CP55)</f>
        <v>2.069822253570017E-2</v>
      </c>
      <c r="CQ57">
        <f>STDEV(CQ4:CQ55)</f>
        <v>0</v>
      </c>
      <c r="CT57" t="s">
        <v>568</v>
      </c>
      <c r="CU57" s="1" t="s">
        <v>67</v>
      </c>
      <c r="CW57">
        <v>3</v>
      </c>
      <c r="CZ57">
        <f t="shared" si="43"/>
        <v>3</v>
      </c>
      <c r="DA57">
        <f>CZ57/CZ72*100</f>
        <v>5.0268096514745307E-2</v>
      </c>
      <c r="DB57">
        <f>CZ57/5968</f>
        <v>5.0268096514745309E-4</v>
      </c>
      <c r="DC57" s="2">
        <f>DB57^2</f>
        <v>2.5268815272157497E-7</v>
      </c>
      <c r="DD57">
        <f t="shared" si="45"/>
        <v>-15.191109706430973</v>
      </c>
      <c r="DE57">
        <f t="shared" si="46"/>
        <v>-7.6362816888895643E-3</v>
      </c>
      <c r="DF57">
        <f t="shared" si="47"/>
        <v>-1.8097565456562791E-3</v>
      </c>
      <c r="DG57">
        <f t="shared" si="48"/>
        <v>7.7063160745129649</v>
      </c>
    </row>
    <row r="58" spans="23:165" x14ac:dyDescent="0.25">
      <c r="BC58" t="s">
        <v>315</v>
      </c>
      <c r="BD58" s="27" t="s">
        <v>671</v>
      </c>
      <c r="BE58" s="9">
        <v>5</v>
      </c>
      <c r="BF58">
        <f>BE58/BE59*100</f>
        <v>0.18335166850018336</v>
      </c>
      <c r="BG58">
        <f t="shared" si="23"/>
        <v>1.8335166850018336E-3</v>
      </c>
      <c r="BH58">
        <f t="shared" si="24"/>
        <v>3.3617834341801131E-6</v>
      </c>
      <c r="BI58">
        <f t="shared" si="25"/>
        <v>-6.3015194704114883</v>
      </c>
      <c r="BJ58">
        <f t="shared" si="26"/>
        <v>-1.1553941089863382E-2</v>
      </c>
      <c r="BK58">
        <f t="shared" si="27"/>
        <v>-2.8831995134422847E-3</v>
      </c>
      <c r="BL58">
        <f t="shared" si="28"/>
        <v>6.8259753385975239</v>
      </c>
      <c r="BO58" t="s">
        <v>303</v>
      </c>
      <c r="BP58" t="s">
        <v>94</v>
      </c>
      <c r="BS58">
        <v>2</v>
      </c>
      <c r="BU58">
        <f t="shared" si="29"/>
        <v>2</v>
      </c>
      <c r="BV58">
        <f>BU58/BU67*100</f>
        <v>3.912363067292645E-2</v>
      </c>
      <c r="BW58">
        <f t="shared" si="30"/>
        <v>3.9123630672926448E-4</v>
      </c>
      <c r="BX58">
        <f t="shared" si="31"/>
        <v>1.5306584770315511E-7</v>
      </c>
      <c r="BY58">
        <f t="shared" si="32"/>
        <v>-7.8461988154974254</v>
      </c>
      <c r="BZ58">
        <f t="shared" si="33"/>
        <v>-3.0697178464387425E-3</v>
      </c>
      <c r="CA58">
        <f t="shared" si="34"/>
        <v>-7.4091673314044418E-4</v>
      </c>
      <c r="CB58">
        <f t="shared" si="35"/>
        <v>7.2605091805186834</v>
      </c>
      <c r="CT58" t="s">
        <v>303</v>
      </c>
      <c r="CU58" s="1" t="s">
        <v>291</v>
      </c>
      <c r="CW58">
        <v>1</v>
      </c>
      <c r="CY58">
        <v>4</v>
      </c>
      <c r="CZ58">
        <f t="shared" si="43"/>
        <v>5</v>
      </c>
      <c r="DA58">
        <f>CZ58/CZ72*100</f>
        <v>8.3780160857908847E-2</v>
      </c>
      <c r="DB58">
        <f t="shared" si="81"/>
        <v>8.3780160857908849E-4</v>
      </c>
      <c r="DC58" s="2">
        <f t="shared" si="44"/>
        <v>7.0191153533770814E-7</v>
      </c>
      <c r="DD58">
        <f t="shared" si="45"/>
        <v>-14.169458458898992</v>
      </c>
      <c r="DE58">
        <f t="shared" si="46"/>
        <v>-1.1871195089560149E-2</v>
      </c>
      <c r="DF58">
        <f t="shared" si="47"/>
        <v>-2.8134076103232728E-3</v>
      </c>
      <c r="DG58">
        <f t="shared" si="48"/>
        <v>7.7063160745129649</v>
      </c>
    </row>
    <row r="59" spans="23:165" x14ac:dyDescent="0.25">
      <c r="BE59" s="14">
        <f>SUM(BE4:BE58)</f>
        <v>2727</v>
      </c>
      <c r="BJ59" s="3">
        <f>SUM(BJ4:BJ58)</f>
        <v>-2.3004720488717498</v>
      </c>
      <c r="BK59" s="3">
        <f>SUM(BK4:BK58)</f>
        <v>-0.57406557990967177</v>
      </c>
      <c r="BL59" s="3">
        <f t="shared" si="28"/>
        <v>6.8259753385975239</v>
      </c>
      <c r="BM59" s="3"/>
      <c r="BN59" s="3"/>
      <c r="BO59" t="s">
        <v>303</v>
      </c>
      <c r="BP59" t="s">
        <v>14</v>
      </c>
      <c r="BS59">
        <v>1</v>
      </c>
      <c r="BT59">
        <v>2</v>
      </c>
      <c r="BU59">
        <f t="shared" si="29"/>
        <v>3</v>
      </c>
      <c r="BV59">
        <f>BU59/BU67*100</f>
        <v>5.8685446009389672E-2</v>
      </c>
      <c r="BW59">
        <f t="shared" si="30"/>
        <v>5.8685446009389673E-4</v>
      </c>
      <c r="BX59">
        <f t="shared" si="31"/>
        <v>3.4439815733209904E-7</v>
      </c>
      <c r="BY59">
        <f t="shared" si="32"/>
        <v>-7.4407337073892608</v>
      </c>
      <c r="BZ59">
        <f t="shared" si="33"/>
        <v>-4.3666277625523829E-3</v>
      </c>
      <c r="CA59">
        <f t="shared" si="34"/>
        <v>-1.0539429805980511E-3</v>
      </c>
      <c r="CB59">
        <f t="shared" si="35"/>
        <v>7.2605091805186834</v>
      </c>
      <c r="CT59" t="s">
        <v>304</v>
      </c>
      <c r="CU59" t="s">
        <v>292</v>
      </c>
      <c r="CW59">
        <v>5</v>
      </c>
      <c r="CX59">
        <v>2</v>
      </c>
      <c r="CY59">
        <v>2</v>
      </c>
      <c r="CZ59">
        <f t="shared" si="43"/>
        <v>9</v>
      </c>
      <c r="DA59">
        <f>CZ59/CZ72*100</f>
        <v>0.15080428954423591</v>
      </c>
      <c r="DB59">
        <f t="shared" si="81"/>
        <v>1.5080428954423592E-3</v>
      </c>
      <c r="DC59" s="2">
        <f t="shared" si="44"/>
        <v>2.2741933744941743E-6</v>
      </c>
      <c r="DD59">
        <f t="shared" si="45"/>
        <v>-12.993885129094755</v>
      </c>
      <c r="DE59">
        <f>DB59*DD59</f>
        <v>-1.9595336153125469E-2</v>
      </c>
      <c r="DF59">
        <f t="shared" si="47"/>
        <v>-4.6439863420767542E-3</v>
      </c>
      <c r="DG59">
        <f t="shared" si="48"/>
        <v>7.7063160745129649</v>
      </c>
    </row>
    <row r="60" spans="23:165" x14ac:dyDescent="0.25">
      <c r="BJ60">
        <f>STDEV(BJ4:BJ58)</f>
        <v>7.1498897441103743E-2</v>
      </c>
      <c r="BK60">
        <f>AVERAGE(BK4:BK58)</f>
        <v>-1.0437555998357669E-2</v>
      </c>
      <c r="BL60">
        <f>STDEV(BL4:BL58)</f>
        <v>3.58545827587578E-15</v>
      </c>
      <c r="BO60" t="s">
        <v>303</v>
      </c>
      <c r="BP60" t="s">
        <v>200</v>
      </c>
      <c r="BS60">
        <v>1</v>
      </c>
      <c r="BU60">
        <f t="shared" si="29"/>
        <v>1</v>
      </c>
      <c r="BV60">
        <f>BU60/BU67*100</f>
        <v>1.9561815336463225E-2</v>
      </c>
      <c r="BW60">
        <f t="shared" si="30"/>
        <v>1.9561815336463224E-4</v>
      </c>
      <c r="BX60">
        <f t="shared" si="31"/>
        <v>3.8266461925788778E-8</v>
      </c>
      <c r="BY60">
        <f t="shared" si="32"/>
        <v>-8.5393459960573708</v>
      </c>
      <c r="BZ60">
        <f t="shared" si="33"/>
        <v>-1.670451094690409E-3</v>
      </c>
      <c r="CA60">
        <f t="shared" si="34"/>
        <v>-4.0318531860664115E-4</v>
      </c>
      <c r="CB60">
        <f t="shared" si="35"/>
        <v>7.2605091805186834</v>
      </c>
      <c r="CT60" t="s">
        <v>303</v>
      </c>
      <c r="CU60" t="s">
        <v>293</v>
      </c>
      <c r="CW60">
        <v>1</v>
      </c>
      <c r="CZ60">
        <f t="shared" si="43"/>
        <v>1</v>
      </c>
      <c r="DA60">
        <f>CZ60/CZ72*100</f>
        <v>1.675603217158177E-2</v>
      </c>
      <c r="DB60">
        <f t="shared" si="81"/>
        <v>1.675603217158177E-4</v>
      </c>
      <c r="DC60" s="2">
        <f>DB60^2</f>
        <v>2.8076461413508327E-8</v>
      </c>
      <c r="DD60">
        <f t="shared" si="45"/>
        <v>-17.388334283767193</v>
      </c>
      <c r="DE60">
        <f t="shared" si="46"/>
        <v>-2.9135948866902133E-3</v>
      </c>
      <c r="DF60">
        <f t="shared" si="47"/>
        <v>-6.9050588131788001E-4</v>
      </c>
      <c r="DG60">
        <f t="shared" si="48"/>
        <v>7.7063160745129649</v>
      </c>
    </row>
    <row r="61" spans="23:165" x14ac:dyDescent="0.25">
      <c r="BO61" t="s">
        <v>303</v>
      </c>
      <c r="BP61" t="s">
        <v>246</v>
      </c>
      <c r="BS61">
        <v>2</v>
      </c>
      <c r="BU61">
        <f t="shared" si="29"/>
        <v>2</v>
      </c>
      <c r="BV61">
        <f>BU61/BU67*100</f>
        <v>3.912363067292645E-2</v>
      </c>
      <c r="BW61">
        <f t="shared" si="30"/>
        <v>3.9123630672926448E-4</v>
      </c>
      <c r="BX61">
        <f t="shared" si="31"/>
        <v>1.5306584770315511E-7</v>
      </c>
      <c r="BY61">
        <f t="shared" si="32"/>
        <v>-7.8461988154974254</v>
      </c>
      <c r="BZ61">
        <f t="shared" si="33"/>
        <v>-3.0697178464387425E-3</v>
      </c>
      <c r="CA61">
        <f t="shared" si="34"/>
        <v>-7.4091673314044418E-4</v>
      </c>
      <c r="CB61">
        <f t="shared" si="35"/>
        <v>7.2605091805186834</v>
      </c>
      <c r="CT61" t="s">
        <v>305</v>
      </c>
      <c r="CU61" t="s">
        <v>294</v>
      </c>
      <c r="CW61">
        <v>1</v>
      </c>
      <c r="CZ61">
        <f t="shared" si="43"/>
        <v>1</v>
      </c>
      <c r="DA61">
        <f>CZ61/CZ72*100</f>
        <v>1.675603217158177E-2</v>
      </c>
      <c r="DB61">
        <f t="shared" si="81"/>
        <v>1.675603217158177E-4</v>
      </c>
      <c r="DC61" s="2">
        <f t="shared" si="44"/>
        <v>2.8076461413508327E-8</v>
      </c>
      <c r="DD61">
        <f t="shared" si="45"/>
        <v>-17.388334283767193</v>
      </c>
      <c r="DE61">
        <f t="shared" si="46"/>
        <v>-2.9135948866902133E-3</v>
      </c>
      <c r="DF61">
        <f t="shared" si="47"/>
        <v>-6.9050588131788001E-4</v>
      </c>
      <c r="DG61">
        <f t="shared" si="48"/>
        <v>7.7063160745129649</v>
      </c>
    </row>
    <row r="62" spans="23:165" x14ac:dyDescent="0.25">
      <c r="BO62" t="s">
        <v>315</v>
      </c>
      <c r="BP62" t="s">
        <v>248</v>
      </c>
      <c r="BS62">
        <v>65</v>
      </c>
      <c r="BT62">
        <v>45</v>
      </c>
      <c r="BU62">
        <f t="shared" si="29"/>
        <v>110</v>
      </c>
      <c r="BV62">
        <f>BU62/BU67*100</f>
        <v>2.1517996870109544</v>
      </c>
      <c r="BW62">
        <f t="shared" si="30"/>
        <v>2.1517996870109544E-2</v>
      </c>
      <c r="BX62">
        <f t="shared" si="31"/>
        <v>4.6302418930204418E-4</v>
      </c>
      <c r="BY62">
        <f t="shared" si="32"/>
        <v>-3.8388656302649546</v>
      </c>
      <c r="BZ62">
        <f t="shared" si="33"/>
        <v>-8.2604698616812397E-2</v>
      </c>
      <c r="CA62">
        <f t="shared" si="34"/>
        <v>-1.9937729297245674E-2</v>
      </c>
      <c r="CB62">
        <f t="shared" si="35"/>
        <v>7.2605091805186834</v>
      </c>
      <c r="CT62" t="s">
        <v>309</v>
      </c>
      <c r="CU62" t="s">
        <v>295</v>
      </c>
      <c r="CW62">
        <v>10</v>
      </c>
      <c r="CX62">
        <v>4</v>
      </c>
      <c r="CY62">
        <v>9</v>
      </c>
      <c r="CZ62">
        <f t="shared" si="43"/>
        <v>23</v>
      </c>
      <c r="DA62">
        <f>CZ62/CZ72*100</f>
        <v>0.38538873994638068</v>
      </c>
      <c r="DB62">
        <f t="shared" si="81"/>
        <v>3.8538873994638069E-3</v>
      </c>
      <c r="DC62" s="2">
        <f t="shared" si="44"/>
        <v>1.4852448087745905E-5</v>
      </c>
      <c r="DD62">
        <f t="shared" si="45"/>
        <v>-11.117345851908894</v>
      </c>
      <c r="DE62">
        <f t="shared" si="46"/>
        <v>-4.2844999094152909E-2</v>
      </c>
      <c r="DF62">
        <f t="shared" si="47"/>
        <v>-1.0154027931171823E-2</v>
      </c>
      <c r="DG62">
        <f t="shared" si="48"/>
        <v>7.7063160745129649</v>
      </c>
    </row>
    <row r="63" spans="23:165" x14ac:dyDescent="0.25">
      <c r="BO63" t="s">
        <v>315</v>
      </c>
      <c r="BP63" t="s">
        <v>249</v>
      </c>
      <c r="BS63">
        <v>3</v>
      </c>
      <c r="BU63">
        <f t="shared" si="29"/>
        <v>3</v>
      </c>
      <c r="BV63">
        <f>BU63/BU67*100</f>
        <v>5.8685446009389672E-2</v>
      </c>
      <c r="BW63">
        <f t="shared" si="30"/>
        <v>5.8685446009389673E-4</v>
      </c>
      <c r="BX63">
        <f t="shared" si="31"/>
        <v>3.4439815733209904E-7</v>
      </c>
      <c r="BY63">
        <f t="shared" si="32"/>
        <v>-7.4407337073892608</v>
      </c>
      <c r="BZ63">
        <f t="shared" si="33"/>
        <v>-4.3666277625523829E-3</v>
      </c>
      <c r="CA63">
        <f t="shared" si="34"/>
        <v>-1.0539429805980511E-3</v>
      </c>
      <c r="CB63">
        <f t="shared" si="35"/>
        <v>7.2605091805186834</v>
      </c>
      <c r="CT63" t="s">
        <v>305</v>
      </c>
      <c r="CU63" t="s">
        <v>296</v>
      </c>
      <c r="CW63">
        <v>1</v>
      </c>
      <c r="CZ63">
        <f t="shared" si="43"/>
        <v>1</v>
      </c>
      <c r="DA63">
        <f>CZ63/CZ72*100</f>
        <v>1.675603217158177E-2</v>
      </c>
      <c r="DB63">
        <f t="shared" si="81"/>
        <v>1.675603217158177E-4</v>
      </c>
      <c r="DC63" s="2">
        <f t="shared" si="44"/>
        <v>2.8076461413508327E-8</v>
      </c>
      <c r="DD63">
        <f t="shared" si="45"/>
        <v>-17.388334283767193</v>
      </c>
      <c r="DE63">
        <f t="shared" si="46"/>
        <v>-2.9135948866902133E-3</v>
      </c>
      <c r="DF63">
        <f t="shared" si="47"/>
        <v>-6.9050588131788001E-4</v>
      </c>
      <c r="DG63">
        <f t="shared" si="48"/>
        <v>7.7063160745129649</v>
      </c>
    </row>
    <row r="64" spans="23:165" x14ac:dyDescent="0.25">
      <c r="BO64" t="s">
        <v>568</v>
      </c>
      <c r="BP64" t="s">
        <v>250</v>
      </c>
      <c r="BT64">
        <v>3</v>
      </c>
      <c r="BU64">
        <f t="shared" si="29"/>
        <v>3</v>
      </c>
      <c r="BV64">
        <f>BU64/BU67*100</f>
        <v>5.8685446009389672E-2</v>
      </c>
      <c r="BW64">
        <f t="shared" si="30"/>
        <v>5.8685446009389673E-4</v>
      </c>
      <c r="BX64">
        <f t="shared" si="31"/>
        <v>3.4439815733209904E-7</v>
      </c>
      <c r="BY64">
        <f t="shared" si="32"/>
        <v>-7.4407337073892608</v>
      </c>
      <c r="BZ64">
        <f t="shared" si="33"/>
        <v>-4.3666277625523829E-3</v>
      </c>
      <c r="CA64">
        <f t="shared" si="34"/>
        <v>-1.0539429805980511E-3</v>
      </c>
      <c r="CB64">
        <f t="shared" si="35"/>
        <v>7.2605091805186834</v>
      </c>
      <c r="CT64" t="s">
        <v>303</v>
      </c>
      <c r="CU64" s="1" t="s">
        <v>170</v>
      </c>
      <c r="CW64">
        <v>1</v>
      </c>
      <c r="CX64">
        <v>5</v>
      </c>
      <c r="CZ64">
        <f t="shared" si="43"/>
        <v>6</v>
      </c>
      <c r="DA64">
        <f>CZ64/CZ72*100</f>
        <v>0.10053619302949061</v>
      </c>
      <c r="DB64">
        <f t="shared" si="81"/>
        <v>1.0053619302949062E-3</v>
      </c>
      <c r="DC64" s="2">
        <f t="shared" si="44"/>
        <v>1.0107526108862999E-6</v>
      </c>
      <c r="DD64">
        <f t="shared" si="45"/>
        <v>-13.804815345311084</v>
      </c>
      <c r="DE64">
        <f t="shared" si="46"/>
        <v>-1.3878835802926693E-2</v>
      </c>
      <c r="DF64">
        <f t="shared" si="47"/>
        <v>-3.2892073608258624E-3</v>
      </c>
      <c r="DG64">
        <f t="shared" si="48"/>
        <v>7.7063160745129649</v>
      </c>
    </row>
    <row r="65" spans="67:111" x14ac:dyDescent="0.25">
      <c r="BO65" t="s">
        <v>315</v>
      </c>
      <c r="BP65" t="s">
        <v>153</v>
      </c>
      <c r="BT65">
        <v>1</v>
      </c>
      <c r="BU65">
        <f t="shared" si="29"/>
        <v>1</v>
      </c>
      <c r="BV65">
        <f>BU65/BU67*100</f>
        <v>1.9561815336463225E-2</v>
      </c>
      <c r="BW65">
        <f t="shared" si="30"/>
        <v>1.9561815336463224E-4</v>
      </c>
      <c r="BX65">
        <f t="shared" si="31"/>
        <v>3.8266461925788778E-8</v>
      </c>
      <c r="BY65">
        <f t="shared" si="32"/>
        <v>-8.5393459960573708</v>
      </c>
      <c r="BZ65">
        <f t="shared" si="33"/>
        <v>-1.670451094690409E-3</v>
      </c>
      <c r="CA65">
        <f t="shared" si="34"/>
        <v>-4.0318531860664115E-4</v>
      </c>
      <c r="CB65">
        <f t="shared" si="35"/>
        <v>7.2605091805186834</v>
      </c>
      <c r="CT65" t="s">
        <v>305</v>
      </c>
      <c r="CU65" t="s">
        <v>299</v>
      </c>
      <c r="CX65">
        <v>1</v>
      </c>
      <c r="CZ65">
        <f t="shared" si="43"/>
        <v>1</v>
      </c>
      <c r="DA65">
        <f>CZ65/CZ72*100</f>
        <v>1.675603217158177E-2</v>
      </c>
      <c r="DB65">
        <f t="shared" si="81"/>
        <v>1.675603217158177E-4</v>
      </c>
      <c r="DC65" s="2">
        <f t="shared" si="44"/>
        <v>2.8076461413508327E-8</v>
      </c>
      <c r="DD65">
        <f t="shared" si="45"/>
        <v>-17.388334283767193</v>
      </c>
      <c r="DE65">
        <f t="shared" si="46"/>
        <v>-2.9135948866902133E-3</v>
      </c>
      <c r="DF65">
        <f t="shared" si="47"/>
        <v>-6.9050588131788001E-4</v>
      </c>
      <c r="DG65">
        <f t="shared" si="48"/>
        <v>7.7063160745129649</v>
      </c>
    </row>
    <row r="66" spans="67:111" x14ac:dyDescent="0.25">
      <c r="BO66" t="s">
        <v>568</v>
      </c>
      <c r="BP66" t="s">
        <v>252</v>
      </c>
      <c r="BT66">
        <v>17</v>
      </c>
      <c r="BU66">
        <v>17</v>
      </c>
      <c r="BV66">
        <f>BU66/BU67*100</f>
        <v>0.33255086071987477</v>
      </c>
      <c r="BW66">
        <f t="shared" si="30"/>
        <v>3.3255086071987479E-3</v>
      </c>
      <c r="BX66">
        <f t="shared" si="31"/>
        <v>1.1059007496552956E-5</v>
      </c>
      <c r="BY66">
        <f t="shared" si="32"/>
        <v>-5.7061326520011546</v>
      </c>
      <c r="BZ66">
        <f t="shared" si="33"/>
        <v>-1.8975793248047657E-2</v>
      </c>
      <c r="CA66">
        <f t="shared" si="34"/>
        <v>-4.5800570102567349E-3</v>
      </c>
      <c r="CB66">
        <f t="shared" si="35"/>
        <v>7.2605091805186834</v>
      </c>
      <c r="CT66" t="s">
        <v>303</v>
      </c>
      <c r="CU66" t="s">
        <v>298</v>
      </c>
      <c r="CY66">
        <v>1</v>
      </c>
      <c r="CZ66">
        <f t="shared" si="43"/>
        <v>1</v>
      </c>
      <c r="DA66">
        <f>CZ66/CZ72*100</f>
        <v>1.675603217158177E-2</v>
      </c>
      <c r="DB66">
        <f t="shared" si="81"/>
        <v>1.675603217158177E-4</v>
      </c>
      <c r="DC66" s="2">
        <f t="shared" si="44"/>
        <v>2.8076461413508327E-8</v>
      </c>
      <c r="DD66">
        <f>LN(DC66)</f>
        <v>-17.388334283767193</v>
      </c>
      <c r="DE66">
        <f t="shared" si="46"/>
        <v>-2.9135948866902133E-3</v>
      </c>
      <c r="DF66">
        <f t="shared" si="47"/>
        <v>-6.9050588131788001E-4</v>
      </c>
      <c r="DG66">
        <f t="shared" si="48"/>
        <v>7.7063160745129649</v>
      </c>
    </row>
    <row r="67" spans="67:111" x14ac:dyDescent="0.25">
      <c r="BU67" s="3">
        <f>SUM(BU4:BU66)</f>
        <v>5112</v>
      </c>
      <c r="BZ67" s="3">
        <f>SUM(BZ4:BZ66)</f>
        <v>-2.1963178995727821</v>
      </c>
      <c r="CA67" s="3">
        <f>SUM(CA4:CA66)</f>
        <v>-0.53011018096572216</v>
      </c>
      <c r="CB67" s="3">
        <f t="shared" si="35"/>
        <v>7.2605091805186834</v>
      </c>
      <c r="CT67" t="s">
        <v>304</v>
      </c>
      <c r="CU67" t="s">
        <v>300</v>
      </c>
      <c r="CY67">
        <v>5</v>
      </c>
      <c r="CZ67">
        <f>SUM(CV67:CY67)</f>
        <v>5</v>
      </c>
      <c r="DA67">
        <f>CZ67/CZ72*100</f>
        <v>8.3780160857908847E-2</v>
      </c>
      <c r="DB67">
        <f t="shared" si="81"/>
        <v>8.3780160857908849E-4</v>
      </c>
      <c r="DC67" s="2">
        <f t="shared" si="44"/>
        <v>7.0191153533770814E-7</v>
      </c>
      <c r="DD67">
        <f t="shared" si="45"/>
        <v>-14.169458458898992</v>
      </c>
      <c r="DE67">
        <f>DB67*DD67</f>
        <v>-1.1871195089560149E-2</v>
      </c>
      <c r="DF67">
        <f t="shared" si="47"/>
        <v>-2.8134076103232728E-3</v>
      </c>
      <c r="DG67">
        <f t="shared" si="48"/>
        <v>7.7063160745129649</v>
      </c>
    </row>
    <row r="68" spans="67:111" x14ac:dyDescent="0.25">
      <c r="BZ68">
        <f>STDEV(BZ4:BZ66)</f>
        <v>7.6196156572866408E-2</v>
      </c>
      <c r="CA68">
        <f>STDEV(CA4:CA66)</f>
        <v>1.8390943477531927E-2</v>
      </c>
      <c r="CB68">
        <f>STDEV(CB4:CB66)</f>
        <v>8.953124975160615E-16</v>
      </c>
      <c r="CT68" t="s">
        <v>303</v>
      </c>
      <c r="CU68" s="1" t="s">
        <v>243</v>
      </c>
      <c r="CY68">
        <v>3</v>
      </c>
      <c r="CZ68">
        <f>SUM(CV68:CY68)</f>
        <v>3</v>
      </c>
      <c r="DA68">
        <f>CZ68/CZ72*100</f>
        <v>5.0268096514745307E-2</v>
      </c>
      <c r="DB68">
        <f t="shared" si="81"/>
        <v>5.0268096514745309E-4</v>
      </c>
      <c r="DC68" s="2">
        <f t="shared" si="44"/>
        <v>2.5268815272157497E-7</v>
      </c>
      <c r="DD68">
        <f t="shared" si="45"/>
        <v>-15.191109706430973</v>
      </c>
      <c r="DE68">
        <f t="shared" si="46"/>
        <v>-7.6362816888895643E-3</v>
      </c>
      <c r="DF68">
        <f t="shared" si="47"/>
        <v>-1.8097565456562791E-3</v>
      </c>
      <c r="DG68">
        <f t="shared" si="48"/>
        <v>7.7063160745129649</v>
      </c>
    </row>
    <row r="69" spans="67:111" x14ac:dyDescent="0.25">
      <c r="CT69" t="s">
        <v>305</v>
      </c>
      <c r="CU69" s="1" t="s">
        <v>301</v>
      </c>
      <c r="CY69">
        <v>1</v>
      </c>
      <c r="CZ69">
        <f>SUM(CV69:CY69)</f>
        <v>1</v>
      </c>
      <c r="DA69">
        <f>CZ69/CZ72*100</f>
        <v>1.675603217158177E-2</v>
      </c>
      <c r="DB69">
        <f t="shared" si="81"/>
        <v>1.675603217158177E-4</v>
      </c>
      <c r="DC69" s="2">
        <f>DB69^2</f>
        <v>2.8076461413508327E-8</v>
      </c>
      <c r="DD69">
        <f>LN(DC69)</f>
        <v>-17.388334283767193</v>
      </c>
      <c r="DE69">
        <f>DB69*DD69</f>
        <v>-2.9135948866902133E-3</v>
      </c>
      <c r="DF69">
        <f>DE69/LN(68)</f>
        <v>-6.9050588131788001E-4</v>
      </c>
      <c r="DG69">
        <f>((68-1)/(LN(5968)))</f>
        <v>7.7063160745129649</v>
      </c>
    </row>
    <row r="70" spans="67:111" x14ac:dyDescent="0.25">
      <c r="CT70" t="s">
        <v>303</v>
      </c>
      <c r="CU70" t="s">
        <v>302</v>
      </c>
      <c r="CY70">
        <v>1</v>
      </c>
      <c r="CZ70">
        <f>SUM(CV70:CY70)</f>
        <v>1</v>
      </c>
      <c r="DA70">
        <f>CZ70/CZ72*100</f>
        <v>1.675603217158177E-2</v>
      </c>
      <c r="DB70">
        <f t="shared" si="81"/>
        <v>1.675603217158177E-4</v>
      </c>
      <c r="DC70" s="2">
        <f>DB70^2</f>
        <v>2.8076461413508327E-8</v>
      </c>
      <c r="DD70">
        <f>LN(DC70)</f>
        <v>-17.388334283767193</v>
      </c>
      <c r="DE70">
        <f>DB70*DD70</f>
        <v>-2.9135948866902133E-3</v>
      </c>
      <c r="DF70">
        <f>DE70/LN(68)</f>
        <v>-6.9050588131788001E-4</v>
      </c>
      <c r="DG70">
        <f>((68-1)/(LN(5968)))</f>
        <v>7.7063160745129649</v>
      </c>
    </row>
    <row r="71" spans="67:111" x14ac:dyDescent="0.25">
      <c r="CT71" t="s">
        <v>304</v>
      </c>
      <c r="CU71" s="1" t="s">
        <v>156</v>
      </c>
      <c r="CY71">
        <v>1</v>
      </c>
      <c r="CZ71">
        <f>SUM(CV71:CY71)</f>
        <v>1</v>
      </c>
      <c r="DA71">
        <f>CZ71/CZ72*100</f>
        <v>1.675603217158177E-2</v>
      </c>
      <c r="DB71">
        <f t="shared" si="81"/>
        <v>1.675603217158177E-4</v>
      </c>
      <c r="DC71" s="2">
        <f>DB71^2</f>
        <v>2.8076461413508327E-8</v>
      </c>
      <c r="DD71">
        <f>LN(DC71)</f>
        <v>-17.388334283767193</v>
      </c>
      <c r="DE71">
        <f>DB71*DD71</f>
        <v>-2.9135948866902133E-3</v>
      </c>
      <c r="DF71">
        <f>DE71/LN(68)</f>
        <v>-6.9050588131788001E-4</v>
      </c>
      <c r="DG71">
        <f>((68-1)/(LN(5968)))</f>
        <v>7.7063160745129649</v>
      </c>
    </row>
    <row r="72" spans="67:111" x14ac:dyDescent="0.25">
      <c r="CZ72" s="3">
        <f>SUM(CZ4:CZ71)</f>
        <v>5968</v>
      </c>
      <c r="DE72" s="3">
        <f>SUM(DE4:DE71)</f>
        <v>-3.1141573819047288</v>
      </c>
      <c r="DF72" s="3">
        <f>SUM(DF4:DF71)</f>
        <v>-0.73803808394153803</v>
      </c>
      <c r="DG72" s="3">
        <f>((68-1)/(LN(5968)))</f>
        <v>7.7063160745129649</v>
      </c>
    </row>
    <row r="73" spans="67:111" x14ac:dyDescent="0.25">
      <c r="DE73">
        <f>STDEV(DE4:DE71)</f>
        <v>0.11518003676326549</v>
      </c>
      <c r="DF73">
        <f>STDEV(DF4:DF71)</f>
        <v>2.7297031978866401E-2</v>
      </c>
      <c r="DG73">
        <f>STDEV(DG4:DG71)</f>
        <v>7.1582565411754591E-15</v>
      </c>
    </row>
  </sheetData>
  <mergeCells count="2">
    <mergeCell ref="Y3:AA3"/>
    <mergeCell ref="DV3:DY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238D-EF37-483B-9EDB-8FAA6C80BCAF}">
  <dimension ref="A1:ER68"/>
  <sheetViews>
    <sheetView workbookViewId="0">
      <selection activeCell="E4" sqref="E4"/>
    </sheetView>
  </sheetViews>
  <sheetFormatPr defaultRowHeight="15" x14ac:dyDescent="0.25"/>
  <cols>
    <col min="1" max="1" width="12.85546875" customWidth="1"/>
    <col min="2" max="2" width="20.7109375" customWidth="1"/>
    <col min="3" max="7" width="13.42578125" customWidth="1"/>
    <col min="8" max="8" width="22.5703125" customWidth="1"/>
    <col min="9" max="9" width="11.7109375" customWidth="1"/>
    <col min="13" max="13" width="13.42578125" customWidth="1"/>
    <col min="14" max="14" width="30.42578125" customWidth="1"/>
    <col min="15" max="17" width="13.5703125" customWidth="1"/>
    <col min="18" max="20" width="11.28515625" customWidth="1"/>
    <col min="29" max="29" width="10.7109375" customWidth="1"/>
    <col min="30" max="30" width="32.140625" customWidth="1"/>
    <col min="45" max="45" width="11.5703125" customWidth="1"/>
    <col min="46" max="46" width="25.85546875" style="23" customWidth="1"/>
    <col min="62" max="62" width="21.5703125" customWidth="1"/>
    <col min="63" max="65" width="8.5703125" customWidth="1"/>
    <col min="74" max="74" width="13" customWidth="1"/>
    <col min="75" max="75" width="22.5703125" customWidth="1"/>
    <col min="87" max="87" width="10.42578125" customWidth="1"/>
    <col min="88" max="88" width="26.85546875" customWidth="1"/>
    <col min="100" max="100" width="12" customWidth="1"/>
    <col min="101" max="101" width="19.140625" customWidth="1"/>
    <col min="108" max="108" width="26" customWidth="1"/>
    <col min="115" max="115" width="8.7109375" customWidth="1"/>
    <col min="120" max="120" width="13.85546875" customWidth="1"/>
    <col min="121" max="121" width="20.42578125" customWidth="1"/>
    <col min="122" max="122" width="13" customWidth="1"/>
    <col min="123" max="123" width="10.85546875" customWidth="1"/>
    <col min="124" max="124" width="10.140625" customWidth="1"/>
    <col min="126" max="126" width="10.140625" customWidth="1"/>
    <col min="136" max="136" width="13.28515625" customWidth="1"/>
    <col min="137" max="137" width="20.5703125" customWidth="1"/>
  </cols>
  <sheetData>
    <row r="1" spans="1:148" s="36" customFormat="1" x14ac:dyDescent="0.25">
      <c r="B1" s="37" t="s">
        <v>720</v>
      </c>
      <c r="AT1" s="23"/>
    </row>
    <row r="2" spans="1:148" s="36" customFormat="1" x14ac:dyDescent="0.25">
      <c r="B2" s="36" t="s">
        <v>718</v>
      </c>
      <c r="AT2" s="23"/>
    </row>
    <row r="3" spans="1:148" s="36" customFormat="1" x14ac:dyDescent="0.25">
      <c r="B3" s="36" t="s">
        <v>719</v>
      </c>
      <c r="AT3" s="23"/>
    </row>
    <row r="4" spans="1:148" s="36" customFormat="1" x14ac:dyDescent="0.25">
      <c r="B4" s="36" t="s">
        <v>717</v>
      </c>
      <c r="AT4" s="23"/>
    </row>
    <row r="5" spans="1:148" s="36" customFormat="1" x14ac:dyDescent="0.25">
      <c r="AT5" s="23"/>
    </row>
    <row r="6" spans="1:148" x14ac:dyDescent="0.25">
      <c r="B6" t="s">
        <v>674</v>
      </c>
      <c r="H6" t="s">
        <v>675</v>
      </c>
      <c r="N6" t="s">
        <v>582</v>
      </c>
      <c r="AD6" t="s">
        <v>583</v>
      </c>
      <c r="AT6" s="23" t="s">
        <v>624</v>
      </c>
      <c r="BJ6" t="s">
        <v>625</v>
      </c>
      <c r="BW6" s="17">
        <v>44256</v>
      </c>
      <c r="CJ6" s="17">
        <v>44287</v>
      </c>
      <c r="CW6" s="17">
        <v>44317</v>
      </c>
      <c r="DD6" s="29">
        <v>44348</v>
      </c>
      <c r="DQ6" s="17">
        <v>44378</v>
      </c>
      <c r="EG6" t="s">
        <v>676</v>
      </c>
    </row>
    <row r="7" spans="1:148" s="37" customFormat="1" x14ac:dyDescent="0.25">
      <c r="A7" s="37" t="s">
        <v>687</v>
      </c>
      <c r="B7" s="37" t="s">
        <v>0</v>
      </c>
      <c r="C7" s="37" t="s">
        <v>2</v>
      </c>
      <c r="D7" s="37" t="s">
        <v>716</v>
      </c>
      <c r="G7" s="37" t="s">
        <v>687</v>
      </c>
      <c r="H7" s="37" t="s">
        <v>0</v>
      </c>
      <c r="I7" s="37" t="s">
        <v>2</v>
      </c>
      <c r="J7" s="37" t="s">
        <v>716</v>
      </c>
      <c r="M7" s="37" t="s">
        <v>687</v>
      </c>
      <c r="N7" s="37" t="s">
        <v>0</v>
      </c>
      <c r="O7" s="37" t="s">
        <v>578</v>
      </c>
      <c r="P7" s="37" t="s">
        <v>716</v>
      </c>
      <c r="R7" s="37" t="s">
        <v>579</v>
      </c>
      <c r="S7" s="37" t="s">
        <v>716</v>
      </c>
      <c r="U7" s="37" t="s">
        <v>580</v>
      </c>
      <c r="V7" s="37" t="s">
        <v>716</v>
      </c>
      <c r="X7" s="37" t="s">
        <v>581</v>
      </c>
      <c r="Y7" s="37" t="s">
        <v>716</v>
      </c>
      <c r="AC7" s="37" t="s">
        <v>687</v>
      </c>
      <c r="AD7" s="37" t="s">
        <v>0</v>
      </c>
      <c r="AE7" s="37" t="s">
        <v>578</v>
      </c>
      <c r="AF7" s="37" t="s">
        <v>716</v>
      </c>
      <c r="AH7" s="37" t="s">
        <v>579</v>
      </c>
      <c r="AI7" s="37" t="s">
        <v>716</v>
      </c>
      <c r="AK7" s="37" t="s">
        <v>580</v>
      </c>
      <c r="AL7" s="37" t="s">
        <v>716</v>
      </c>
      <c r="AN7" s="37" t="s">
        <v>581</v>
      </c>
      <c r="AO7" s="37" t="s">
        <v>716</v>
      </c>
      <c r="AS7" s="37" t="s">
        <v>687</v>
      </c>
      <c r="AT7" s="24" t="s">
        <v>0</v>
      </c>
      <c r="AU7" s="37" t="s">
        <v>578</v>
      </c>
      <c r="AV7" s="37" t="s">
        <v>716</v>
      </c>
      <c r="AX7" s="37" t="s">
        <v>579</v>
      </c>
      <c r="AY7" s="37" t="s">
        <v>716</v>
      </c>
      <c r="BA7" s="37" t="s">
        <v>580</v>
      </c>
      <c r="BB7" s="37" t="s">
        <v>716</v>
      </c>
      <c r="BD7" s="37" t="s">
        <v>581</v>
      </c>
      <c r="BE7" s="37" t="s">
        <v>716</v>
      </c>
      <c r="BI7" s="14" t="s">
        <v>687</v>
      </c>
      <c r="BJ7" s="14" t="s">
        <v>0</v>
      </c>
      <c r="BK7" s="14" t="s">
        <v>578</v>
      </c>
      <c r="BL7" s="37" t="s">
        <v>716</v>
      </c>
      <c r="BM7" s="14"/>
      <c r="BN7" s="14" t="s">
        <v>579</v>
      </c>
      <c r="BO7" s="37" t="s">
        <v>716</v>
      </c>
      <c r="BP7" s="14"/>
      <c r="BQ7" s="14" t="s">
        <v>580</v>
      </c>
      <c r="BR7" s="37" t="s">
        <v>716</v>
      </c>
      <c r="BV7" s="37" t="s">
        <v>687</v>
      </c>
      <c r="BW7" s="37" t="s">
        <v>0</v>
      </c>
      <c r="BX7" s="37" t="s">
        <v>578</v>
      </c>
      <c r="BY7" s="37" t="s">
        <v>716</v>
      </c>
      <c r="CA7" s="37" t="s">
        <v>579</v>
      </c>
      <c r="CB7" s="37" t="s">
        <v>716</v>
      </c>
      <c r="CD7" s="37" t="s">
        <v>580</v>
      </c>
      <c r="CE7" s="37" t="s">
        <v>716</v>
      </c>
      <c r="CI7" s="37" t="s">
        <v>687</v>
      </c>
      <c r="CJ7" s="37" t="s">
        <v>0</v>
      </c>
      <c r="CK7" s="37" t="s">
        <v>578</v>
      </c>
      <c r="CL7" s="37" t="s">
        <v>716</v>
      </c>
      <c r="CN7" s="37" t="s">
        <v>579</v>
      </c>
      <c r="CO7" s="37" t="s">
        <v>716</v>
      </c>
      <c r="CQ7" s="37" t="s">
        <v>580</v>
      </c>
      <c r="CR7" s="37" t="s">
        <v>716</v>
      </c>
      <c r="CV7" s="37" t="s">
        <v>687</v>
      </c>
      <c r="CW7" s="37" t="s">
        <v>0</v>
      </c>
      <c r="CX7" s="37" t="s">
        <v>380</v>
      </c>
      <c r="CY7" s="37" t="s">
        <v>716</v>
      </c>
      <c r="DC7" s="37" t="s">
        <v>687</v>
      </c>
      <c r="DD7" s="37" t="s">
        <v>0</v>
      </c>
      <c r="DE7" s="33" t="s">
        <v>578</v>
      </c>
      <c r="DF7" s="37" t="s">
        <v>716</v>
      </c>
      <c r="DH7" s="33" t="s">
        <v>579</v>
      </c>
      <c r="DI7" s="37" t="s">
        <v>716</v>
      </c>
      <c r="DK7" s="33" t="s">
        <v>580</v>
      </c>
      <c r="DL7" s="37" t="s">
        <v>716</v>
      </c>
      <c r="DP7" s="37" t="s">
        <v>687</v>
      </c>
      <c r="DQ7" s="37" t="s">
        <v>0</v>
      </c>
      <c r="DR7" s="37" t="s">
        <v>578</v>
      </c>
      <c r="DS7" s="37" t="s">
        <v>716</v>
      </c>
      <c r="DU7" s="37" t="s">
        <v>579</v>
      </c>
      <c r="DV7" s="37" t="s">
        <v>716</v>
      </c>
      <c r="DX7" s="37" t="s">
        <v>580</v>
      </c>
      <c r="DY7" s="37" t="s">
        <v>716</v>
      </c>
      <c r="EA7" s="37" t="s">
        <v>581</v>
      </c>
      <c r="EB7" s="37" t="s">
        <v>716</v>
      </c>
      <c r="EF7" s="37" t="s">
        <v>687</v>
      </c>
      <c r="EG7" s="37" t="s">
        <v>0</v>
      </c>
      <c r="EH7" s="37" t="s">
        <v>578</v>
      </c>
      <c r="EI7" s="37" t="s">
        <v>716</v>
      </c>
      <c r="EK7" s="37" t="s">
        <v>579</v>
      </c>
      <c r="EL7" s="37" t="s">
        <v>716</v>
      </c>
      <c r="EN7" s="37" t="s">
        <v>580</v>
      </c>
      <c r="EO7" s="37" t="s">
        <v>716</v>
      </c>
      <c r="EQ7" s="37" t="s">
        <v>581</v>
      </c>
      <c r="ER7" s="37" t="s">
        <v>716</v>
      </c>
    </row>
    <row r="8" spans="1:148" x14ac:dyDescent="0.25">
      <c r="A8" t="s">
        <v>305</v>
      </c>
      <c r="B8" t="s">
        <v>535</v>
      </c>
      <c r="C8">
        <v>5</v>
      </c>
      <c r="D8">
        <f>C8/800*100</f>
        <v>0.625</v>
      </c>
      <c r="G8" t="s">
        <v>305</v>
      </c>
      <c r="H8" t="s">
        <v>351</v>
      </c>
      <c r="I8">
        <v>3</v>
      </c>
      <c r="J8">
        <f>I8/945*100</f>
        <v>0.31746031746031744</v>
      </c>
      <c r="M8" t="s">
        <v>571</v>
      </c>
      <c r="N8" t="s">
        <v>538</v>
      </c>
      <c r="O8">
        <v>4</v>
      </c>
      <c r="P8">
        <f>O8/418*100</f>
        <v>0.9569377990430622</v>
      </c>
      <c r="R8">
        <v>0</v>
      </c>
      <c r="S8">
        <f>R8/247*100</f>
        <v>0</v>
      </c>
      <c r="U8">
        <v>0</v>
      </c>
      <c r="V8">
        <f t="shared" ref="V8:V55" si="0">U8/278*100</f>
        <v>0</v>
      </c>
      <c r="X8">
        <v>0</v>
      </c>
      <c r="Y8">
        <f>X8/102*100</f>
        <v>0</v>
      </c>
      <c r="AC8" t="s">
        <v>322</v>
      </c>
      <c r="AD8" s="1" t="s">
        <v>445</v>
      </c>
      <c r="AE8">
        <v>10</v>
      </c>
      <c r="AF8">
        <f>AE8/293*100</f>
        <v>3.4129692832764507</v>
      </c>
      <c r="AH8">
        <v>7</v>
      </c>
      <c r="AI8">
        <f>AH8/175*100</f>
        <v>4</v>
      </c>
      <c r="AK8">
        <v>0</v>
      </c>
      <c r="AL8">
        <f>AK8/206*100</f>
        <v>0</v>
      </c>
      <c r="AN8">
        <v>0</v>
      </c>
      <c r="AO8">
        <f>AN8/157*100</f>
        <v>0</v>
      </c>
      <c r="AS8" t="s">
        <v>322</v>
      </c>
      <c r="AT8" s="25" t="s">
        <v>622</v>
      </c>
      <c r="AU8" s="4">
        <v>5</v>
      </c>
      <c r="AV8" s="4">
        <f>AU8/218*100</f>
        <v>2.2935779816513762</v>
      </c>
      <c r="AW8" s="4"/>
      <c r="AX8">
        <v>27</v>
      </c>
      <c r="AY8">
        <f>AX8/242*100</f>
        <v>11.15702479338843</v>
      </c>
      <c r="BA8">
        <v>0</v>
      </c>
      <c r="BB8">
        <f>BA8/108*100</f>
        <v>0</v>
      </c>
      <c r="BD8">
        <v>0</v>
      </c>
      <c r="BE8">
        <f>BD8/126*100</f>
        <v>0</v>
      </c>
      <c r="BI8" s="9" t="s">
        <v>322</v>
      </c>
      <c r="BJ8" s="26" t="s">
        <v>473</v>
      </c>
      <c r="BK8" s="9">
        <v>11</v>
      </c>
      <c r="BL8" s="9">
        <f>BK8/2250*100</f>
        <v>0.48888888888888887</v>
      </c>
      <c r="BM8" s="9"/>
      <c r="BN8" s="9">
        <v>2</v>
      </c>
      <c r="BO8" s="9">
        <f>BN8/2853*100</f>
        <v>7.0101647388713634E-2</v>
      </c>
      <c r="BP8" s="9"/>
      <c r="BQ8" s="9">
        <v>13</v>
      </c>
      <c r="BR8">
        <f>BQ8/4000*100</f>
        <v>0.32500000000000001</v>
      </c>
      <c r="BV8" t="s">
        <v>326</v>
      </c>
      <c r="BW8" s="1" t="s">
        <v>473</v>
      </c>
      <c r="BX8">
        <v>16</v>
      </c>
      <c r="BY8">
        <f>BX8/460*100</f>
        <v>3.4782608695652173</v>
      </c>
      <c r="CA8">
        <v>12</v>
      </c>
      <c r="CB8">
        <f>CA8/273*100</f>
        <v>4.395604395604396</v>
      </c>
      <c r="CD8">
        <v>19</v>
      </c>
      <c r="CE8">
        <f>CD8/268*100</f>
        <v>7.08955223880597</v>
      </c>
      <c r="CI8" t="s">
        <v>322</v>
      </c>
      <c r="CJ8" s="1" t="s">
        <v>473</v>
      </c>
      <c r="CK8">
        <v>1</v>
      </c>
      <c r="CL8">
        <f>CK8/191*100</f>
        <v>0.52356020942408377</v>
      </c>
      <c r="CN8">
        <v>49</v>
      </c>
      <c r="CO8">
        <f>CN8/263*100</f>
        <v>18.631178707224336</v>
      </c>
      <c r="CQ8">
        <v>15</v>
      </c>
      <c r="CR8">
        <f>CQ8/288*100</f>
        <v>5.2083333333333339</v>
      </c>
      <c r="CV8" t="s">
        <v>322</v>
      </c>
      <c r="CW8" s="1" t="s">
        <v>473</v>
      </c>
      <c r="CX8">
        <v>4</v>
      </c>
      <c r="CY8">
        <f>CX8/387*100</f>
        <v>1.03359173126615</v>
      </c>
      <c r="DC8" t="s">
        <v>322</v>
      </c>
      <c r="DD8" s="1" t="s">
        <v>473</v>
      </c>
      <c r="DE8">
        <v>14</v>
      </c>
      <c r="DF8">
        <f>DE8/442*100</f>
        <v>3.1674208144796379</v>
      </c>
      <c r="DH8">
        <v>15</v>
      </c>
      <c r="DI8">
        <f>DH8/385*100</f>
        <v>3.8961038961038961</v>
      </c>
      <c r="DK8">
        <v>9</v>
      </c>
      <c r="DL8">
        <f>DK8/366*100</f>
        <v>2.459016393442623</v>
      </c>
      <c r="DP8" t="s">
        <v>322</v>
      </c>
      <c r="DQ8" s="1" t="s">
        <v>473</v>
      </c>
      <c r="DR8">
        <v>30</v>
      </c>
      <c r="DS8">
        <f>DR8/314*100</f>
        <v>9.5541401273885356</v>
      </c>
      <c r="DU8">
        <v>0</v>
      </c>
      <c r="DV8">
        <f>DU8/327*100</f>
        <v>0</v>
      </c>
      <c r="DX8">
        <v>0</v>
      </c>
      <c r="DY8">
        <f>DX8/3967*100</f>
        <v>0</v>
      </c>
      <c r="EA8">
        <v>0</v>
      </c>
      <c r="EB8">
        <f>EA8/3378*100</f>
        <v>0</v>
      </c>
      <c r="EF8" t="s">
        <v>322</v>
      </c>
      <c r="EG8" s="1" t="s">
        <v>473</v>
      </c>
      <c r="EH8">
        <v>0</v>
      </c>
      <c r="EI8">
        <f>EH8/2168*100</f>
        <v>0</v>
      </c>
      <c r="EK8">
        <v>0</v>
      </c>
      <c r="EL8">
        <f>EK8/512*100</f>
        <v>0</v>
      </c>
      <c r="EN8">
        <v>0</v>
      </c>
      <c r="EO8">
        <f>EN8/2731*100</f>
        <v>0</v>
      </c>
      <c r="EQ8">
        <v>0</v>
      </c>
      <c r="ER8">
        <f>EQ8/237*100</f>
        <v>0</v>
      </c>
    </row>
    <row r="9" spans="1:148" x14ac:dyDescent="0.25">
      <c r="A9" t="s">
        <v>305</v>
      </c>
      <c r="B9" s="1" t="s">
        <v>370</v>
      </c>
      <c r="C9">
        <v>1</v>
      </c>
      <c r="D9">
        <f t="shared" ref="D9:D34" si="1">C9/800*100</f>
        <v>0.125</v>
      </c>
      <c r="G9" t="s">
        <v>305</v>
      </c>
      <c r="H9" s="1" t="s">
        <v>54</v>
      </c>
      <c r="I9">
        <v>1</v>
      </c>
      <c r="J9">
        <f t="shared" ref="J9:J48" si="2">I9/945*100</f>
        <v>0.10582010582010583</v>
      </c>
      <c r="M9" t="s">
        <v>305</v>
      </c>
      <c r="N9" s="10" t="s">
        <v>537</v>
      </c>
      <c r="O9">
        <v>8</v>
      </c>
      <c r="P9">
        <f t="shared" ref="P9:P55" si="3">O9/418*100</f>
        <v>1.9138755980861244</v>
      </c>
      <c r="R9">
        <v>2</v>
      </c>
      <c r="S9">
        <f t="shared" ref="S9:S55" si="4">R9/247*100</f>
        <v>0.80971659919028338</v>
      </c>
      <c r="U9">
        <v>0</v>
      </c>
      <c r="V9">
        <f t="shared" si="0"/>
        <v>0</v>
      </c>
      <c r="X9">
        <v>0</v>
      </c>
      <c r="Y9">
        <f t="shared" ref="Y9:Y55" si="5">X9/102*100</f>
        <v>0</v>
      </c>
      <c r="AC9" t="s">
        <v>571</v>
      </c>
      <c r="AD9" s="2" t="s">
        <v>538</v>
      </c>
      <c r="AE9">
        <v>4</v>
      </c>
      <c r="AF9">
        <f t="shared" ref="AF9:AF67" si="6">AE9/293*100</f>
        <v>1.3651877133105803</v>
      </c>
      <c r="AH9">
        <v>0</v>
      </c>
      <c r="AI9">
        <f t="shared" ref="AI9:AI67" si="7">AH9/175*100</f>
        <v>0</v>
      </c>
      <c r="AK9">
        <v>0</v>
      </c>
      <c r="AL9">
        <f t="shared" ref="AL9:AL67" si="8">AK9/206*100</f>
        <v>0</v>
      </c>
      <c r="AN9">
        <v>0</v>
      </c>
      <c r="AO9">
        <f t="shared" ref="AO9:AO67" si="9">AN9/157*100</f>
        <v>0</v>
      </c>
      <c r="AS9" t="s">
        <v>571</v>
      </c>
      <c r="AT9" s="23" t="s">
        <v>538</v>
      </c>
      <c r="AU9">
        <v>1</v>
      </c>
      <c r="AV9" s="4">
        <f t="shared" ref="AV9:AV67" si="10">AU9/218*100</f>
        <v>0.45871559633027525</v>
      </c>
      <c r="AX9">
        <v>0</v>
      </c>
      <c r="AY9">
        <f t="shared" ref="AY9:AY67" si="11">AX9/242*100</f>
        <v>0</v>
      </c>
      <c r="BA9">
        <v>0</v>
      </c>
      <c r="BB9">
        <f t="shared" ref="BB9:BB67" si="12">BA9/108*100</f>
        <v>0</v>
      </c>
      <c r="BD9">
        <v>0</v>
      </c>
      <c r="BE9">
        <f t="shared" ref="BE9:BE67" si="13">BD9/126*100</f>
        <v>0</v>
      </c>
      <c r="BI9" s="9" t="s">
        <v>305</v>
      </c>
      <c r="BJ9" s="26" t="s">
        <v>480</v>
      </c>
      <c r="BK9" s="9">
        <v>0</v>
      </c>
      <c r="BL9" s="9">
        <f t="shared" ref="BL9:BL51" si="14">BK9/2250*100</f>
        <v>0</v>
      </c>
      <c r="BM9" s="9"/>
      <c r="BN9" s="9">
        <v>1</v>
      </c>
      <c r="BO9" s="9">
        <f t="shared" ref="BO9:BO51" si="15">BN9/2853*100</f>
        <v>3.5050823694356817E-2</v>
      </c>
      <c r="BP9" s="9"/>
      <c r="BQ9" s="9">
        <v>0</v>
      </c>
      <c r="BR9">
        <f t="shared" ref="BR9:BR51" si="16">BQ9/4000*100</f>
        <v>0</v>
      </c>
      <c r="BV9" t="s">
        <v>571</v>
      </c>
      <c r="BW9" t="s">
        <v>544</v>
      </c>
      <c r="BX9">
        <v>1</v>
      </c>
      <c r="BY9">
        <f t="shared" ref="BY9:BY50" si="17">BX9/460*100</f>
        <v>0.21739130434782608</v>
      </c>
      <c r="CA9">
        <v>0</v>
      </c>
      <c r="CB9">
        <f t="shared" ref="CB9:CB50" si="18">CA9/273*100</f>
        <v>0</v>
      </c>
      <c r="CD9">
        <v>0</v>
      </c>
      <c r="CE9">
        <f t="shared" ref="CE9:CE50" si="19">CD9/268*100</f>
        <v>0</v>
      </c>
      <c r="CI9" t="s">
        <v>571</v>
      </c>
      <c r="CJ9" t="s">
        <v>175</v>
      </c>
      <c r="CK9">
        <v>0</v>
      </c>
      <c r="CL9">
        <f t="shared" ref="CL9:CL63" si="20">CK9/191*100</f>
        <v>0</v>
      </c>
      <c r="CN9">
        <v>1</v>
      </c>
      <c r="CO9">
        <f t="shared" ref="CO9:CO64" si="21">CN9/263*100</f>
        <v>0.38022813688212925</v>
      </c>
      <c r="CQ9">
        <v>1</v>
      </c>
      <c r="CR9">
        <f t="shared" ref="CR9:CR63" si="22">CQ9/288*100</f>
        <v>0.34722222222222221</v>
      </c>
      <c r="CV9" t="s">
        <v>571</v>
      </c>
      <c r="CW9" t="s">
        <v>175</v>
      </c>
      <c r="CX9">
        <v>2</v>
      </c>
      <c r="CY9">
        <f t="shared" ref="CY9:CY44" si="23">CX9/387*100</f>
        <v>0.516795865633075</v>
      </c>
      <c r="DC9" t="s">
        <v>305</v>
      </c>
      <c r="DD9" s="1" t="s">
        <v>450</v>
      </c>
      <c r="DE9">
        <v>3</v>
      </c>
      <c r="DF9">
        <f t="shared" ref="DF9:DF55" si="24">DE9/442*100</f>
        <v>0.67873303167420818</v>
      </c>
      <c r="DH9">
        <v>7</v>
      </c>
      <c r="DI9">
        <f t="shared" ref="DI9:DI55" si="25">DH9/385*100</f>
        <v>1.8181818181818181</v>
      </c>
      <c r="DK9">
        <v>0</v>
      </c>
      <c r="DL9">
        <f t="shared" ref="DL9:DL55" si="26">DK9/366*100</f>
        <v>0</v>
      </c>
      <c r="DP9" t="s">
        <v>571</v>
      </c>
      <c r="DQ9" t="s">
        <v>175</v>
      </c>
      <c r="DR9">
        <v>1</v>
      </c>
      <c r="DS9">
        <f t="shared" ref="DS9:DS56" si="27">DR9/314*100</f>
        <v>0.31847133757961787</v>
      </c>
      <c r="DU9">
        <v>1</v>
      </c>
      <c r="DV9">
        <f t="shared" ref="DV9:DV56" si="28">DU9/327*100</f>
        <v>0.3058103975535168</v>
      </c>
      <c r="DX9">
        <v>1</v>
      </c>
      <c r="DY9">
        <f t="shared" ref="DY9:DY56" si="29">DX9/3967*100</f>
        <v>2.5207965717166627E-2</v>
      </c>
      <c r="EA9">
        <v>1</v>
      </c>
      <c r="EB9">
        <f t="shared" ref="EB9:EB56" si="30">EA9/3378*100</f>
        <v>2.9603315571343988E-2</v>
      </c>
      <c r="EF9" t="s">
        <v>567</v>
      </c>
      <c r="EG9" t="s">
        <v>175</v>
      </c>
      <c r="EH9">
        <v>2</v>
      </c>
      <c r="EI9">
        <f t="shared" ref="EI9:EI57" si="31">EH9/2168*100</f>
        <v>9.2250922509225092E-2</v>
      </c>
      <c r="EK9">
        <v>3</v>
      </c>
      <c r="EL9">
        <f t="shared" ref="EL9:EL57" si="32">EK9/512*100</f>
        <v>0.5859375</v>
      </c>
      <c r="EN9">
        <v>3</v>
      </c>
      <c r="EO9">
        <f t="shared" ref="EO9:EO57" si="33">EN9/2731*100</f>
        <v>0.10984987184181619</v>
      </c>
      <c r="EQ9">
        <v>1</v>
      </c>
      <c r="ER9">
        <f t="shared" ref="ER9:ER57" si="34">EQ9/237*100</f>
        <v>0.42194092827004215</v>
      </c>
    </row>
    <row r="10" spans="1:148" x14ac:dyDescent="0.25">
      <c r="A10" t="s">
        <v>303</v>
      </c>
      <c r="B10" s="5" t="s">
        <v>407</v>
      </c>
      <c r="C10">
        <v>1</v>
      </c>
      <c r="D10">
        <f t="shared" si="1"/>
        <v>0.125</v>
      </c>
      <c r="G10" t="s">
        <v>305</v>
      </c>
      <c r="H10" s="1" t="s">
        <v>60</v>
      </c>
      <c r="I10">
        <v>12</v>
      </c>
      <c r="J10">
        <f t="shared" si="2"/>
        <v>1.2698412698412698</v>
      </c>
      <c r="M10" t="s">
        <v>305</v>
      </c>
      <c r="N10" s="1" t="s">
        <v>201</v>
      </c>
      <c r="O10">
        <v>1</v>
      </c>
      <c r="P10">
        <f t="shared" si="3"/>
        <v>0.23923444976076555</v>
      </c>
      <c r="R10">
        <v>1</v>
      </c>
      <c r="S10">
        <f t="shared" si="4"/>
        <v>0.40485829959514169</v>
      </c>
      <c r="U10">
        <v>0</v>
      </c>
      <c r="V10">
        <f t="shared" si="0"/>
        <v>0</v>
      </c>
      <c r="X10">
        <v>0</v>
      </c>
      <c r="Y10">
        <f t="shared" si="5"/>
        <v>0</v>
      </c>
      <c r="AC10" t="s">
        <v>305</v>
      </c>
      <c r="AD10" s="2" t="s">
        <v>539</v>
      </c>
      <c r="AE10">
        <v>5</v>
      </c>
      <c r="AF10">
        <f t="shared" si="6"/>
        <v>1.7064846416382253</v>
      </c>
      <c r="AH10">
        <v>0</v>
      </c>
      <c r="AI10">
        <f t="shared" si="7"/>
        <v>0</v>
      </c>
      <c r="AK10">
        <v>0</v>
      </c>
      <c r="AL10">
        <f t="shared" si="8"/>
        <v>0</v>
      </c>
      <c r="AN10">
        <v>0</v>
      </c>
      <c r="AO10">
        <f t="shared" si="9"/>
        <v>0</v>
      </c>
      <c r="AS10" t="s">
        <v>573</v>
      </c>
      <c r="AT10" s="23" t="s">
        <v>541</v>
      </c>
      <c r="AU10">
        <v>2</v>
      </c>
      <c r="AV10" s="4">
        <f t="shared" si="10"/>
        <v>0.91743119266055051</v>
      </c>
      <c r="AX10">
        <v>0</v>
      </c>
      <c r="AY10">
        <f t="shared" si="11"/>
        <v>0</v>
      </c>
      <c r="BA10">
        <v>0</v>
      </c>
      <c r="BB10">
        <f t="shared" si="12"/>
        <v>0</v>
      </c>
      <c r="BD10">
        <v>0</v>
      </c>
      <c r="BE10">
        <f t="shared" si="13"/>
        <v>0</v>
      </c>
      <c r="BI10" s="9" t="s">
        <v>305</v>
      </c>
      <c r="BJ10" s="26" t="s">
        <v>469</v>
      </c>
      <c r="BK10" s="9">
        <v>3</v>
      </c>
      <c r="BL10" s="9">
        <f t="shared" si="14"/>
        <v>0.13333333333333333</v>
      </c>
      <c r="BM10" s="9"/>
      <c r="BN10" s="9">
        <v>2</v>
      </c>
      <c r="BO10" s="9">
        <f t="shared" si="15"/>
        <v>7.0101647388713634E-2</v>
      </c>
      <c r="BP10" s="9"/>
      <c r="BQ10" s="9">
        <v>2</v>
      </c>
      <c r="BR10">
        <f t="shared" si="16"/>
        <v>0.05</v>
      </c>
      <c r="BV10" t="s">
        <v>305</v>
      </c>
      <c r="BW10" s="1" t="s">
        <v>469</v>
      </c>
      <c r="BX10">
        <v>0</v>
      </c>
      <c r="BY10">
        <f t="shared" si="17"/>
        <v>0</v>
      </c>
      <c r="CA10">
        <v>1</v>
      </c>
      <c r="CB10">
        <f t="shared" si="18"/>
        <v>0.36630036630036628</v>
      </c>
      <c r="CD10">
        <v>0</v>
      </c>
      <c r="CE10">
        <f t="shared" si="19"/>
        <v>0</v>
      </c>
      <c r="CI10" t="s">
        <v>305</v>
      </c>
      <c r="CJ10" s="1" t="s">
        <v>450</v>
      </c>
      <c r="CK10">
        <v>5</v>
      </c>
      <c r="CL10">
        <f t="shared" si="20"/>
        <v>2.6178010471204187</v>
      </c>
      <c r="CN10">
        <v>2</v>
      </c>
      <c r="CO10">
        <f t="shared" si="21"/>
        <v>0.76045627376425851</v>
      </c>
      <c r="CQ10">
        <v>17</v>
      </c>
      <c r="CR10">
        <f t="shared" si="22"/>
        <v>5.9027777777777777</v>
      </c>
      <c r="CV10" t="s">
        <v>305</v>
      </c>
      <c r="CW10" s="1" t="s">
        <v>450</v>
      </c>
      <c r="CX10">
        <v>2</v>
      </c>
      <c r="CY10">
        <f t="shared" si="23"/>
        <v>0.516795865633075</v>
      </c>
      <c r="DC10" t="s">
        <v>305</v>
      </c>
      <c r="DD10" t="s">
        <v>233</v>
      </c>
      <c r="DE10">
        <v>0</v>
      </c>
      <c r="DF10">
        <f t="shared" si="24"/>
        <v>0</v>
      </c>
      <c r="DH10">
        <v>1</v>
      </c>
      <c r="DI10">
        <f t="shared" si="25"/>
        <v>0.25974025974025972</v>
      </c>
      <c r="DK10">
        <v>1</v>
      </c>
      <c r="DL10">
        <f t="shared" si="26"/>
        <v>0.27322404371584702</v>
      </c>
      <c r="DP10" t="s">
        <v>305</v>
      </c>
      <c r="DQ10" s="1" t="s">
        <v>450</v>
      </c>
      <c r="DR10">
        <v>0</v>
      </c>
      <c r="DS10">
        <f t="shared" si="27"/>
        <v>0</v>
      </c>
      <c r="DU10">
        <v>2</v>
      </c>
      <c r="DV10">
        <f t="shared" si="28"/>
        <v>0.6116207951070336</v>
      </c>
      <c r="DX10">
        <v>0</v>
      </c>
      <c r="DY10">
        <f t="shared" si="29"/>
        <v>0</v>
      </c>
      <c r="EA10">
        <v>0</v>
      </c>
      <c r="EB10">
        <f t="shared" si="30"/>
        <v>0</v>
      </c>
      <c r="EF10" t="s">
        <v>305</v>
      </c>
      <c r="EG10" s="1" t="s">
        <v>201</v>
      </c>
      <c r="EH10">
        <v>0</v>
      </c>
      <c r="EI10">
        <f t="shared" si="31"/>
        <v>0</v>
      </c>
      <c r="EK10">
        <v>4</v>
      </c>
      <c r="EL10">
        <f t="shared" si="32"/>
        <v>0.78125</v>
      </c>
      <c r="EN10">
        <v>5</v>
      </c>
      <c r="EO10">
        <f t="shared" si="33"/>
        <v>0.18308311973636032</v>
      </c>
      <c r="EQ10">
        <v>2</v>
      </c>
      <c r="ER10">
        <f t="shared" si="34"/>
        <v>0.8438818565400843</v>
      </c>
    </row>
    <row r="11" spans="1:148" x14ac:dyDescent="0.25">
      <c r="A11" t="s">
        <v>303</v>
      </c>
      <c r="B11" t="s">
        <v>115</v>
      </c>
      <c r="C11">
        <v>73</v>
      </c>
      <c r="D11">
        <f t="shared" si="1"/>
        <v>9.125</v>
      </c>
      <c r="G11" t="s">
        <v>303</v>
      </c>
      <c r="H11" t="s">
        <v>70</v>
      </c>
      <c r="I11">
        <v>10</v>
      </c>
      <c r="J11">
        <f t="shared" si="2"/>
        <v>1.0582010582010581</v>
      </c>
      <c r="M11" t="s">
        <v>305</v>
      </c>
      <c r="N11" s="1" t="s">
        <v>422</v>
      </c>
      <c r="O11">
        <v>0</v>
      </c>
      <c r="P11">
        <f t="shared" si="3"/>
        <v>0</v>
      </c>
      <c r="R11">
        <v>0</v>
      </c>
      <c r="S11">
        <f t="shared" si="4"/>
        <v>0</v>
      </c>
      <c r="U11">
        <v>0</v>
      </c>
      <c r="V11">
        <f t="shared" si="0"/>
        <v>0</v>
      </c>
      <c r="X11">
        <v>2</v>
      </c>
      <c r="Y11">
        <f t="shared" si="5"/>
        <v>1.9607843137254901</v>
      </c>
      <c r="AC11" t="s">
        <v>305</v>
      </c>
      <c r="AD11" s="1" t="s">
        <v>449</v>
      </c>
      <c r="AE11">
        <v>1</v>
      </c>
      <c r="AF11">
        <f t="shared" si="6"/>
        <v>0.34129692832764508</v>
      </c>
      <c r="AH11">
        <v>1</v>
      </c>
      <c r="AI11">
        <f t="shared" si="7"/>
        <v>0.5714285714285714</v>
      </c>
      <c r="AK11">
        <v>0</v>
      </c>
      <c r="AL11">
        <f t="shared" si="8"/>
        <v>0</v>
      </c>
      <c r="AN11">
        <v>0</v>
      </c>
      <c r="AO11">
        <f t="shared" si="9"/>
        <v>0</v>
      </c>
      <c r="AS11" t="s">
        <v>305</v>
      </c>
      <c r="AT11" s="25" t="s">
        <v>461</v>
      </c>
      <c r="AU11">
        <v>4</v>
      </c>
      <c r="AV11" s="4">
        <f t="shared" si="10"/>
        <v>1.834862385321101</v>
      </c>
      <c r="AX11">
        <v>2</v>
      </c>
      <c r="AY11">
        <f>AX11/242*100</f>
        <v>0.82644628099173556</v>
      </c>
      <c r="BA11">
        <v>1</v>
      </c>
      <c r="BB11">
        <f t="shared" si="12"/>
        <v>0.92592592592592582</v>
      </c>
      <c r="BD11">
        <v>3</v>
      </c>
      <c r="BE11">
        <f t="shared" si="13"/>
        <v>2.3809523809523809</v>
      </c>
      <c r="BI11" s="9" t="s">
        <v>305</v>
      </c>
      <c r="BJ11" s="26" t="s">
        <v>201</v>
      </c>
      <c r="BK11" s="9">
        <v>1</v>
      </c>
      <c r="BL11" s="9">
        <f t="shared" si="14"/>
        <v>4.4444444444444446E-2</v>
      </c>
      <c r="BM11" s="9"/>
      <c r="BN11" s="9">
        <v>0</v>
      </c>
      <c r="BO11" s="9">
        <f t="shared" si="15"/>
        <v>0</v>
      </c>
      <c r="BP11" s="9"/>
      <c r="BQ11" s="9">
        <v>5</v>
      </c>
      <c r="BR11">
        <f t="shared" si="16"/>
        <v>0.125</v>
      </c>
      <c r="BV11" t="s">
        <v>305</v>
      </c>
      <c r="BW11" s="1" t="s">
        <v>485</v>
      </c>
      <c r="BX11">
        <v>2</v>
      </c>
      <c r="BY11">
        <f t="shared" si="17"/>
        <v>0.43478260869565216</v>
      </c>
      <c r="CA11">
        <v>2</v>
      </c>
      <c r="CB11">
        <f t="shared" si="18"/>
        <v>0.73260073260073255</v>
      </c>
      <c r="CD11">
        <v>3</v>
      </c>
      <c r="CE11">
        <f t="shared" si="19"/>
        <v>1.1194029850746268</v>
      </c>
      <c r="CI11" t="s">
        <v>305</v>
      </c>
      <c r="CJ11" t="s">
        <v>491</v>
      </c>
      <c r="CK11">
        <v>6</v>
      </c>
      <c r="CL11">
        <f t="shared" si="20"/>
        <v>3.1413612565445024</v>
      </c>
      <c r="CN11">
        <v>1</v>
      </c>
      <c r="CO11">
        <f t="shared" si="21"/>
        <v>0.38022813688212925</v>
      </c>
      <c r="CQ11">
        <v>11</v>
      </c>
      <c r="CR11">
        <f t="shared" si="22"/>
        <v>3.8194444444444446</v>
      </c>
      <c r="CV11" t="s">
        <v>305</v>
      </c>
      <c r="CW11" s="1" t="s">
        <v>487</v>
      </c>
      <c r="CX11">
        <v>2</v>
      </c>
      <c r="CY11">
        <f t="shared" si="23"/>
        <v>0.516795865633075</v>
      </c>
      <c r="DC11" t="s">
        <v>305</v>
      </c>
      <c r="DD11" s="1" t="s">
        <v>487</v>
      </c>
      <c r="DE11">
        <v>0</v>
      </c>
      <c r="DF11">
        <f t="shared" si="24"/>
        <v>0</v>
      </c>
      <c r="DH11">
        <v>5</v>
      </c>
      <c r="DI11">
        <f t="shared" si="25"/>
        <v>1.2987012987012987</v>
      </c>
      <c r="DK11">
        <v>1</v>
      </c>
      <c r="DL11">
        <f t="shared" si="26"/>
        <v>0.27322404371584702</v>
      </c>
      <c r="DP11" t="s">
        <v>305</v>
      </c>
      <c r="DQ11" t="s">
        <v>508</v>
      </c>
      <c r="DR11">
        <v>1</v>
      </c>
      <c r="DS11">
        <f t="shared" si="27"/>
        <v>0.31847133757961787</v>
      </c>
      <c r="DU11">
        <v>2</v>
      </c>
      <c r="DV11">
        <f t="shared" si="28"/>
        <v>0.6116207951070336</v>
      </c>
      <c r="DX11">
        <v>4</v>
      </c>
      <c r="DY11">
        <f t="shared" si="29"/>
        <v>0.10083186286866651</v>
      </c>
      <c r="EA11">
        <v>2</v>
      </c>
      <c r="EB11">
        <f t="shared" si="30"/>
        <v>5.9206631142687975E-2</v>
      </c>
      <c r="EF11" t="s">
        <v>305</v>
      </c>
      <c r="EG11" t="s">
        <v>294</v>
      </c>
      <c r="EH11">
        <v>8</v>
      </c>
      <c r="EI11">
        <f t="shared" si="31"/>
        <v>0.36900369003690037</v>
      </c>
      <c r="EK11">
        <v>2</v>
      </c>
      <c r="EL11">
        <f t="shared" si="32"/>
        <v>0.390625</v>
      </c>
      <c r="EN11">
        <v>4</v>
      </c>
      <c r="EO11">
        <f t="shared" si="33"/>
        <v>0.14646649578908827</v>
      </c>
      <c r="EQ11">
        <v>1</v>
      </c>
      <c r="ER11">
        <f t="shared" si="34"/>
        <v>0.42194092827004215</v>
      </c>
    </row>
    <row r="12" spans="1:148" x14ac:dyDescent="0.25">
      <c r="A12" t="s">
        <v>303</v>
      </c>
      <c r="B12" t="s">
        <v>78</v>
      </c>
      <c r="C12">
        <v>43</v>
      </c>
      <c r="D12">
        <f t="shared" si="1"/>
        <v>5.375</v>
      </c>
      <c r="G12" t="s">
        <v>303</v>
      </c>
      <c r="H12" t="s">
        <v>71</v>
      </c>
      <c r="I12">
        <v>47</v>
      </c>
      <c r="J12">
        <f t="shared" si="2"/>
        <v>4.9735449735449739</v>
      </c>
      <c r="M12" t="s">
        <v>303</v>
      </c>
      <c r="N12" t="s">
        <v>115</v>
      </c>
      <c r="O12">
        <v>15</v>
      </c>
      <c r="P12">
        <f t="shared" si="3"/>
        <v>3.5885167464114831</v>
      </c>
      <c r="R12">
        <v>17</v>
      </c>
      <c r="S12">
        <f t="shared" si="4"/>
        <v>6.8825910931174086</v>
      </c>
      <c r="U12">
        <v>38</v>
      </c>
      <c r="V12">
        <f t="shared" si="0"/>
        <v>13.669064748201439</v>
      </c>
      <c r="X12">
        <v>0</v>
      </c>
      <c r="Y12">
        <f t="shared" si="5"/>
        <v>0</v>
      </c>
      <c r="AC12" t="s">
        <v>305</v>
      </c>
      <c r="AD12" s="1" t="s">
        <v>441</v>
      </c>
      <c r="AE12">
        <v>1</v>
      </c>
      <c r="AF12">
        <f t="shared" si="6"/>
        <v>0.34129692832764508</v>
      </c>
      <c r="AH12">
        <v>0</v>
      </c>
      <c r="AI12">
        <f t="shared" si="7"/>
        <v>0</v>
      </c>
      <c r="AK12">
        <v>0</v>
      </c>
      <c r="AL12">
        <f t="shared" si="8"/>
        <v>0</v>
      </c>
      <c r="AN12">
        <v>0</v>
      </c>
      <c r="AO12">
        <f t="shared" si="9"/>
        <v>0</v>
      </c>
      <c r="AS12" t="s">
        <v>305</v>
      </c>
      <c r="AT12" s="25" t="s">
        <v>371</v>
      </c>
      <c r="AU12">
        <v>1</v>
      </c>
      <c r="AV12" s="4">
        <f t="shared" si="10"/>
        <v>0.45871559633027525</v>
      </c>
      <c r="AX12">
        <v>0</v>
      </c>
      <c r="AY12">
        <f t="shared" si="11"/>
        <v>0</v>
      </c>
      <c r="BA12">
        <v>0</v>
      </c>
      <c r="BB12">
        <f t="shared" si="12"/>
        <v>0</v>
      </c>
      <c r="BD12">
        <v>0</v>
      </c>
      <c r="BE12">
        <f t="shared" si="13"/>
        <v>0</v>
      </c>
      <c r="BI12" s="9" t="s">
        <v>303</v>
      </c>
      <c r="BJ12" s="9" t="s">
        <v>15</v>
      </c>
      <c r="BK12" s="9">
        <v>5</v>
      </c>
      <c r="BL12" s="9">
        <f t="shared" si="14"/>
        <v>0.22222222222222221</v>
      </c>
      <c r="BM12" s="9"/>
      <c r="BN12" s="9">
        <v>12</v>
      </c>
      <c r="BO12" s="9">
        <f t="shared" si="15"/>
        <v>0.4206098843322818</v>
      </c>
      <c r="BP12" s="9"/>
      <c r="BQ12" s="9">
        <v>25</v>
      </c>
      <c r="BR12">
        <f t="shared" si="16"/>
        <v>0.625</v>
      </c>
      <c r="BV12" t="s">
        <v>305</v>
      </c>
      <c r="BW12" t="s">
        <v>264</v>
      </c>
      <c r="BX12">
        <v>24</v>
      </c>
      <c r="BY12">
        <f t="shared" si="17"/>
        <v>5.2173913043478262</v>
      </c>
      <c r="CA12">
        <v>1</v>
      </c>
      <c r="CB12">
        <f t="shared" si="18"/>
        <v>0.36630036630036628</v>
      </c>
      <c r="CD12">
        <v>0</v>
      </c>
      <c r="CE12">
        <f t="shared" si="19"/>
        <v>0</v>
      </c>
      <c r="CI12" t="s">
        <v>305</v>
      </c>
      <c r="CJ12" s="1" t="s">
        <v>487</v>
      </c>
      <c r="CK12">
        <v>4</v>
      </c>
      <c r="CL12">
        <f t="shared" si="20"/>
        <v>2.0942408376963351</v>
      </c>
      <c r="CN12">
        <v>6</v>
      </c>
      <c r="CO12">
        <f t="shared" si="21"/>
        <v>2.2813688212927756</v>
      </c>
      <c r="CQ12">
        <v>0</v>
      </c>
      <c r="CR12">
        <f t="shared" si="22"/>
        <v>0</v>
      </c>
      <c r="CV12" t="s">
        <v>303</v>
      </c>
      <c r="CW12" t="s">
        <v>15</v>
      </c>
      <c r="CX12">
        <v>5</v>
      </c>
      <c r="CY12">
        <f t="shared" si="23"/>
        <v>1.2919896640826873</v>
      </c>
      <c r="DC12" t="s">
        <v>305</v>
      </c>
      <c r="DD12" t="s">
        <v>294</v>
      </c>
      <c r="DE12">
        <v>3</v>
      </c>
      <c r="DF12">
        <f t="shared" si="24"/>
        <v>0.67873303167420818</v>
      </c>
      <c r="DH12">
        <v>2</v>
      </c>
      <c r="DI12">
        <f t="shared" si="25"/>
        <v>0.51948051948051943</v>
      </c>
      <c r="DK12">
        <v>1</v>
      </c>
      <c r="DL12">
        <f t="shared" si="26"/>
        <v>0.27322404371584702</v>
      </c>
      <c r="DP12" t="s">
        <v>305</v>
      </c>
      <c r="DQ12" t="s">
        <v>509</v>
      </c>
      <c r="DR12">
        <v>12</v>
      </c>
      <c r="DS12">
        <f t="shared" si="27"/>
        <v>3.8216560509554141</v>
      </c>
      <c r="DU12">
        <v>19</v>
      </c>
      <c r="DV12">
        <f t="shared" si="28"/>
        <v>5.81039755351682</v>
      </c>
      <c r="DX12">
        <v>1</v>
      </c>
      <c r="DY12">
        <f t="shared" si="29"/>
        <v>2.5207965717166627E-2</v>
      </c>
      <c r="EA12">
        <v>5</v>
      </c>
      <c r="EB12">
        <f t="shared" si="30"/>
        <v>0.14801657785671996</v>
      </c>
      <c r="EF12" t="s">
        <v>305</v>
      </c>
      <c r="EG12" t="s">
        <v>351</v>
      </c>
      <c r="EH12">
        <v>1</v>
      </c>
      <c r="EI12">
        <f t="shared" si="31"/>
        <v>4.6125461254612546E-2</v>
      </c>
      <c r="EK12">
        <v>1</v>
      </c>
      <c r="EL12">
        <f t="shared" si="32"/>
        <v>0.1953125</v>
      </c>
      <c r="EN12">
        <v>1</v>
      </c>
      <c r="EO12">
        <f t="shared" si="33"/>
        <v>3.6616623947272067E-2</v>
      </c>
      <c r="EQ12">
        <v>0</v>
      </c>
      <c r="ER12">
        <f t="shared" si="34"/>
        <v>0</v>
      </c>
    </row>
    <row r="13" spans="1:148" x14ac:dyDescent="0.25">
      <c r="A13" t="s">
        <v>303</v>
      </c>
      <c r="B13" t="s">
        <v>104</v>
      </c>
      <c r="C13">
        <v>55</v>
      </c>
      <c r="D13">
        <f t="shared" si="1"/>
        <v>6.8750000000000009</v>
      </c>
      <c r="G13" t="s">
        <v>303</v>
      </c>
      <c r="H13" s="1" t="s">
        <v>49</v>
      </c>
      <c r="I13">
        <v>3</v>
      </c>
      <c r="J13">
        <f t="shared" si="2"/>
        <v>0.31746031746031744</v>
      </c>
      <c r="M13" t="s">
        <v>303</v>
      </c>
      <c r="N13" s="10" t="s">
        <v>421</v>
      </c>
      <c r="O13">
        <v>55</v>
      </c>
      <c r="P13">
        <f t="shared" si="3"/>
        <v>13.157894736842104</v>
      </c>
      <c r="R13">
        <v>45</v>
      </c>
      <c r="S13">
        <f t="shared" si="4"/>
        <v>18.218623481781375</v>
      </c>
      <c r="U13">
        <v>9</v>
      </c>
      <c r="V13">
        <f t="shared" si="0"/>
        <v>3.2374100719424459</v>
      </c>
      <c r="X13">
        <v>30</v>
      </c>
      <c r="Y13">
        <f t="shared" si="5"/>
        <v>29.411764705882355</v>
      </c>
      <c r="AC13" t="s">
        <v>305</v>
      </c>
      <c r="AD13" s="1" t="s">
        <v>448</v>
      </c>
      <c r="AE13">
        <v>7</v>
      </c>
      <c r="AF13">
        <f t="shared" si="6"/>
        <v>2.3890784982935154</v>
      </c>
      <c r="AH13">
        <v>1</v>
      </c>
      <c r="AI13">
        <f t="shared" si="7"/>
        <v>0.5714285714285714</v>
      </c>
      <c r="AK13">
        <v>0</v>
      </c>
      <c r="AL13">
        <f t="shared" si="8"/>
        <v>0</v>
      </c>
      <c r="AN13">
        <v>0</v>
      </c>
      <c r="AO13">
        <f t="shared" si="9"/>
        <v>0</v>
      </c>
      <c r="AS13" t="s">
        <v>305</v>
      </c>
      <c r="AT13" s="23" t="s">
        <v>618</v>
      </c>
      <c r="AU13">
        <v>1</v>
      </c>
      <c r="AV13" s="4">
        <f t="shared" si="10"/>
        <v>0.45871559633027525</v>
      </c>
      <c r="AX13">
        <v>0</v>
      </c>
      <c r="AY13">
        <f t="shared" si="11"/>
        <v>0</v>
      </c>
      <c r="BA13">
        <v>0</v>
      </c>
      <c r="BB13">
        <f t="shared" si="12"/>
        <v>0</v>
      </c>
      <c r="BD13">
        <v>0</v>
      </c>
      <c r="BE13">
        <f t="shared" si="13"/>
        <v>0</v>
      </c>
      <c r="BI13" s="9" t="s">
        <v>303</v>
      </c>
      <c r="BJ13" s="9" t="s">
        <v>7</v>
      </c>
      <c r="BK13" s="9">
        <v>6</v>
      </c>
      <c r="BL13" s="9">
        <f t="shared" si="14"/>
        <v>0.26666666666666666</v>
      </c>
      <c r="BM13" s="9"/>
      <c r="BN13" s="9">
        <v>23</v>
      </c>
      <c r="BO13" s="9">
        <f t="shared" si="15"/>
        <v>0.80616894497020675</v>
      </c>
      <c r="BP13" s="9"/>
      <c r="BQ13" s="9">
        <v>80</v>
      </c>
      <c r="BR13">
        <f t="shared" si="16"/>
        <v>2</v>
      </c>
      <c r="BV13" t="s">
        <v>305</v>
      </c>
      <c r="BW13" s="1" t="s">
        <v>487</v>
      </c>
      <c r="BX13">
        <v>10</v>
      </c>
      <c r="BY13">
        <f t="shared" si="17"/>
        <v>2.1739130434782608</v>
      </c>
      <c r="CA13">
        <v>7</v>
      </c>
      <c r="CB13">
        <f t="shared" si="18"/>
        <v>2.5641025641025639</v>
      </c>
      <c r="CD13">
        <v>12</v>
      </c>
      <c r="CE13">
        <f t="shared" si="19"/>
        <v>4.4776119402985071</v>
      </c>
      <c r="CI13" t="s">
        <v>305</v>
      </c>
      <c r="CJ13" t="s">
        <v>329</v>
      </c>
      <c r="CK13">
        <v>1</v>
      </c>
      <c r="CL13">
        <f t="shared" si="20"/>
        <v>0.52356020942408377</v>
      </c>
      <c r="CN13">
        <v>0</v>
      </c>
      <c r="CO13">
        <f t="shared" si="21"/>
        <v>0</v>
      </c>
      <c r="CQ13">
        <v>0</v>
      </c>
      <c r="CR13">
        <f t="shared" si="22"/>
        <v>0</v>
      </c>
      <c r="CV13" t="s">
        <v>303</v>
      </c>
      <c r="CW13" t="s">
        <v>7</v>
      </c>
      <c r="CX13">
        <v>69</v>
      </c>
      <c r="CY13">
        <f t="shared" si="23"/>
        <v>17.829457364341085</v>
      </c>
      <c r="DC13" t="s">
        <v>305</v>
      </c>
      <c r="DD13" t="s">
        <v>499</v>
      </c>
      <c r="DE13">
        <v>10</v>
      </c>
      <c r="DF13">
        <f t="shared" si="24"/>
        <v>2.2624434389140271</v>
      </c>
      <c r="DH13">
        <v>5</v>
      </c>
      <c r="DI13">
        <f t="shared" si="25"/>
        <v>1.2987012987012987</v>
      </c>
      <c r="DK13">
        <v>4</v>
      </c>
      <c r="DL13">
        <f t="shared" si="26"/>
        <v>1.0928961748633881</v>
      </c>
      <c r="DP13" t="s">
        <v>305</v>
      </c>
      <c r="DQ13" t="s">
        <v>351</v>
      </c>
      <c r="DR13">
        <v>1</v>
      </c>
      <c r="DS13">
        <f t="shared" si="27"/>
        <v>0.31847133757961787</v>
      </c>
      <c r="DU13">
        <v>1</v>
      </c>
      <c r="DV13">
        <f t="shared" si="28"/>
        <v>0.3058103975535168</v>
      </c>
      <c r="DX13">
        <v>0</v>
      </c>
      <c r="DY13">
        <f t="shared" si="29"/>
        <v>0</v>
      </c>
      <c r="EA13">
        <v>0</v>
      </c>
      <c r="EB13">
        <f t="shared" si="30"/>
        <v>0</v>
      </c>
      <c r="EF13" t="s">
        <v>305</v>
      </c>
      <c r="EG13" s="1" t="s">
        <v>522</v>
      </c>
      <c r="EH13">
        <v>0</v>
      </c>
      <c r="EI13">
        <f t="shared" si="31"/>
        <v>0</v>
      </c>
      <c r="EK13">
        <v>2</v>
      </c>
      <c r="EL13">
        <f t="shared" si="32"/>
        <v>0.390625</v>
      </c>
      <c r="EN13">
        <v>0</v>
      </c>
      <c r="EO13">
        <f t="shared" si="33"/>
        <v>0</v>
      </c>
      <c r="EQ13">
        <v>0</v>
      </c>
      <c r="ER13">
        <f t="shared" si="34"/>
        <v>0</v>
      </c>
    </row>
    <row r="14" spans="1:148" x14ac:dyDescent="0.25">
      <c r="A14" t="s">
        <v>303</v>
      </c>
      <c r="B14" t="s">
        <v>70</v>
      </c>
      <c r="C14">
        <v>112</v>
      </c>
      <c r="D14">
        <f t="shared" si="1"/>
        <v>14.000000000000002</v>
      </c>
      <c r="G14" t="s">
        <v>303</v>
      </c>
      <c r="H14" t="s">
        <v>72</v>
      </c>
      <c r="I14">
        <v>31</v>
      </c>
      <c r="J14">
        <f t="shared" si="2"/>
        <v>3.28042328042328</v>
      </c>
      <c r="M14" t="s">
        <v>303</v>
      </c>
      <c r="N14" s="10" t="s">
        <v>104</v>
      </c>
      <c r="O14">
        <v>38</v>
      </c>
      <c r="P14">
        <f t="shared" si="3"/>
        <v>9.0909090909090917</v>
      </c>
      <c r="R14">
        <v>12</v>
      </c>
      <c r="S14">
        <f t="shared" si="4"/>
        <v>4.8582995951417001</v>
      </c>
      <c r="U14">
        <v>30</v>
      </c>
      <c r="V14">
        <f t="shared" si="0"/>
        <v>10.791366906474821</v>
      </c>
      <c r="X14">
        <v>0</v>
      </c>
      <c r="Y14">
        <f t="shared" si="5"/>
        <v>0</v>
      </c>
      <c r="AC14" t="s">
        <v>305</v>
      </c>
      <c r="AD14" s="1" t="s">
        <v>450</v>
      </c>
      <c r="AE14">
        <v>2</v>
      </c>
      <c r="AF14">
        <f t="shared" si="6"/>
        <v>0.68259385665529015</v>
      </c>
      <c r="AH14">
        <v>7</v>
      </c>
      <c r="AI14">
        <f t="shared" si="7"/>
        <v>4</v>
      </c>
      <c r="AK14">
        <v>1</v>
      </c>
      <c r="AL14">
        <f t="shared" si="8"/>
        <v>0.48543689320388345</v>
      </c>
      <c r="AN14">
        <v>1</v>
      </c>
      <c r="AO14">
        <f t="shared" si="9"/>
        <v>0.63694267515923575</v>
      </c>
      <c r="AS14" t="s">
        <v>305</v>
      </c>
      <c r="AT14" s="25" t="s">
        <v>370</v>
      </c>
      <c r="AU14">
        <v>1</v>
      </c>
      <c r="AV14" s="4">
        <f t="shared" si="10"/>
        <v>0.45871559633027525</v>
      </c>
      <c r="AX14">
        <v>1</v>
      </c>
      <c r="AY14">
        <f t="shared" si="11"/>
        <v>0.41322314049586778</v>
      </c>
      <c r="BA14">
        <v>1</v>
      </c>
      <c r="BB14">
        <f t="shared" si="12"/>
        <v>0.92592592592592582</v>
      </c>
      <c r="BD14">
        <v>0</v>
      </c>
      <c r="BE14">
        <f t="shared" si="13"/>
        <v>0</v>
      </c>
      <c r="BI14" s="9" t="s">
        <v>303</v>
      </c>
      <c r="BJ14" s="9" t="s">
        <v>460</v>
      </c>
      <c r="BK14" s="9">
        <v>3</v>
      </c>
      <c r="BL14" s="9">
        <f t="shared" si="14"/>
        <v>0.13333333333333333</v>
      </c>
      <c r="BM14" s="9"/>
      <c r="BN14" s="9">
        <v>0</v>
      </c>
      <c r="BO14" s="9">
        <f t="shared" si="15"/>
        <v>0</v>
      </c>
      <c r="BP14" s="9"/>
      <c r="BQ14" s="9">
        <v>3</v>
      </c>
      <c r="BR14">
        <f t="shared" si="16"/>
        <v>7.4999999999999997E-2</v>
      </c>
      <c r="BV14" t="s">
        <v>303</v>
      </c>
      <c r="BW14" t="s">
        <v>15</v>
      </c>
      <c r="BX14">
        <v>14</v>
      </c>
      <c r="BY14">
        <f t="shared" si="17"/>
        <v>3.0434782608695654</v>
      </c>
      <c r="CA14">
        <v>13</v>
      </c>
      <c r="CB14">
        <f t="shared" si="18"/>
        <v>4.7619047619047619</v>
      </c>
      <c r="CD14">
        <v>14</v>
      </c>
      <c r="CE14">
        <f t="shared" si="19"/>
        <v>5.2238805970149249</v>
      </c>
      <c r="CI14" t="s">
        <v>305</v>
      </c>
      <c r="CJ14" s="1" t="s">
        <v>370</v>
      </c>
      <c r="CK14">
        <v>0</v>
      </c>
      <c r="CL14">
        <f t="shared" si="20"/>
        <v>0</v>
      </c>
      <c r="CN14">
        <v>0</v>
      </c>
      <c r="CO14">
        <f t="shared" si="21"/>
        <v>0</v>
      </c>
      <c r="CQ14">
        <v>4</v>
      </c>
      <c r="CR14">
        <f t="shared" si="22"/>
        <v>1.3888888888888888</v>
      </c>
      <c r="CV14" t="s">
        <v>303</v>
      </c>
      <c r="CW14" t="s">
        <v>17</v>
      </c>
      <c r="CX14">
        <v>4</v>
      </c>
      <c r="CY14">
        <f t="shared" si="23"/>
        <v>1.03359173126615</v>
      </c>
      <c r="DC14" t="s">
        <v>303</v>
      </c>
      <c r="DD14" t="s">
        <v>15</v>
      </c>
      <c r="DE14">
        <v>4</v>
      </c>
      <c r="DF14">
        <f t="shared" si="24"/>
        <v>0.90497737556561098</v>
      </c>
      <c r="DH14">
        <v>14</v>
      </c>
      <c r="DI14">
        <f t="shared" si="25"/>
        <v>3.6363636363636362</v>
      </c>
      <c r="DK14">
        <v>5</v>
      </c>
      <c r="DL14">
        <f t="shared" si="26"/>
        <v>1.3661202185792349</v>
      </c>
      <c r="DP14" t="s">
        <v>303</v>
      </c>
      <c r="DQ14" t="s">
        <v>15</v>
      </c>
      <c r="DR14">
        <v>9</v>
      </c>
      <c r="DS14">
        <f t="shared" si="27"/>
        <v>2.8662420382165608</v>
      </c>
      <c r="DU14">
        <v>18</v>
      </c>
      <c r="DV14">
        <f t="shared" si="28"/>
        <v>5.5045871559633035</v>
      </c>
      <c r="DX14">
        <v>1</v>
      </c>
      <c r="DY14">
        <f t="shared" si="29"/>
        <v>2.5207965717166627E-2</v>
      </c>
      <c r="EA14">
        <v>18</v>
      </c>
      <c r="EB14">
        <f t="shared" si="30"/>
        <v>0.53285968028419184</v>
      </c>
      <c r="EF14" t="s">
        <v>303</v>
      </c>
      <c r="EG14" t="s">
        <v>15</v>
      </c>
      <c r="EH14">
        <v>1</v>
      </c>
      <c r="EI14">
        <f t="shared" si="31"/>
        <v>4.6125461254612546E-2</v>
      </c>
      <c r="EK14">
        <v>5</v>
      </c>
      <c r="EL14">
        <f t="shared" si="32"/>
        <v>0.9765625</v>
      </c>
      <c r="EN14">
        <v>5</v>
      </c>
      <c r="EO14">
        <f t="shared" si="33"/>
        <v>0.18308311973636032</v>
      </c>
      <c r="EQ14">
        <v>4</v>
      </c>
      <c r="ER14">
        <f t="shared" si="34"/>
        <v>1.6877637130801686</v>
      </c>
    </row>
    <row r="15" spans="1:148" x14ac:dyDescent="0.25">
      <c r="A15" t="s">
        <v>303</v>
      </c>
      <c r="B15" s="1" t="s">
        <v>416</v>
      </c>
      <c r="C15">
        <v>8</v>
      </c>
      <c r="D15">
        <f t="shared" si="1"/>
        <v>1</v>
      </c>
      <c r="G15" t="s">
        <v>303</v>
      </c>
      <c r="H15" s="1" t="s">
        <v>411</v>
      </c>
      <c r="I15">
        <v>115</v>
      </c>
      <c r="J15">
        <f t="shared" si="2"/>
        <v>12.169312169312169</v>
      </c>
      <c r="M15" t="s">
        <v>303</v>
      </c>
      <c r="N15" s="10" t="s">
        <v>533</v>
      </c>
      <c r="O15">
        <v>10</v>
      </c>
      <c r="P15">
        <f t="shared" si="3"/>
        <v>2.3923444976076556</v>
      </c>
      <c r="R15">
        <v>5</v>
      </c>
      <c r="S15">
        <f t="shared" si="4"/>
        <v>2.0242914979757085</v>
      </c>
      <c r="U15">
        <v>1</v>
      </c>
      <c r="V15">
        <f t="shared" si="0"/>
        <v>0.35971223021582738</v>
      </c>
      <c r="X15">
        <v>0</v>
      </c>
      <c r="Y15">
        <f t="shared" si="5"/>
        <v>0</v>
      </c>
      <c r="AC15" t="s">
        <v>305</v>
      </c>
      <c r="AD15" s="1" t="s">
        <v>422</v>
      </c>
      <c r="AE15">
        <v>1</v>
      </c>
      <c r="AF15">
        <f t="shared" si="6"/>
        <v>0.34129692832764508</v>
      </c>
      <c r="AH15">
        <v>3</v>
      </c>
      <c r="AI15">
        <f t="shared" si="7"/>
        <v>1.7142857142857144</v>
      </c>
      <c r="AK15">
        <v>0</v>
      </c>
      <c r="AL15">
        <f t="shared" si="8"/>
        <v>0</v>
      </c>
      <c r="AN15">
        <v>0</v>
      </c>
      <c r="AO15">
        <f t="shared" si="9"/>
        <v>0</v>
      </c>
      <c r="AS15" t="s">
        <v>305</v>
      </c>
      <c r="AT15" s="25" t="s">
        <v>620</v>
      </c>
      <c r="AU15">
        <v>1</v>
      </c>
      <c r="AV15" s="4">
        <f t="shared" si="10"/>
        <v>0.45871559633027525</v>
      </c>
      <c r="AX15">
        <v>1</v>
      </c>
      <c r="AY15">
        <f t="shared" si="11"/>
        <v>0.41322314049586778</v>
      </c>
      <c r="BA15">
        <v>0</v>
      </c>
      <c r="BB15">
        <f t="shared" si="12"/>
        <v>0</v>
      </c>
      <c r="BD15">
        <v>0</v>
      </c>
      <c r="BE15">
        <f t="shared" si="13"/>
        <v>0</v>
      </c>
      <c r="BI15" s="9" t="s">
        <v>303</v>
      </c>
      <c r="BJ15" s="9" t="s">
        <v>17</v>
      </c>
      <c r="BK15" s="9">
        <v>47</v>
      </c>
      <c r="BL15" s="9">
        <f t="shared" si="14"/>
        <v>2.0888888888888886</v>
      </c>
      <c r="BM15" s="9"/>
      <c r="BN15" s="9">
        <v>58</v>
      </c>
      <c r="BO15" s="9">
        <f t="shared" si="15"/>
        <v>2.0329477742726954</v>
      </c>
      <c r="BP15" s="9"/>
      <c r="BQ15" s="9">
        <v>597</v>
      </c>
      <c r="BR15">
        <f t="shared" si="16"/>
        <v>14.924999999999999</v>
      </c>
      <c r="BV15" t="s">
        <v>303</v>
      </c>
      <c r="BW15" t="s">
        <v>7</v>
      </c>
      <c r="BX15">
        <v>20</v>
      </c>
      <c r="BY15">
        <f t="shared" si="17"/>
        <v>4.3478260869565215</v>
      </c>
      <c r="CA15">
        <v>21</v>
      </c>
      <c r="CB15">
        <f t="shared" si="18"/>
        <v>7.6923076923076925</v>
      </c>
      <c r="CD15">
        <v>15</v>
      </c>
      <c r="CE15">
        <f t="shared" si="19"/>
        <v>5.5970149253731343</v>
      </c>
      <c r="CI15" t="s">
        <v>303</v>
      </c>
      <c r="CJ15" t="s">
        <v>15</v>
      </c>
      <c r="CK15">
        <v>2</v>
      </c>
      <c r="CL15">
        <f t="shared" si="20"/>
        <v>1.0471204188481675</v>
      </c>
      <c r="CN15">
        <v>0</v>
      </c>
      <c r="CO15">
        <f t="shared" si="21"/>
        <v>0</v>
      </c>
      <c r="CQ15">
        <v>0</v>
      </c>
      <c r="CR15">
        <f t="shared" si="22"/>
        <v>0</v>
      </c>
      <c r="CV15" t="s">
        <v>303</v>
      </c>
      <c r="CW15" s="1" t="s">
        <v>19</v>
      </c>
      <c r="CX15">
        <v>22</v>
      </c>
      <c r="CY15">
        <f t="shared" si="23"/>
        <v>5.684754521963824</v>
      </c>
      <c r="DC15" t="s">
        <v>303</v>
      </c>
      <c r="DD15" t="s">
        <v>17</v>
      </c>
      <c r="DE15">
        <v>70</v>
      </c>
      <c r="DF15">
        <f t="shared" si="24"/>
        <v>15.837104072398189</v>
      </c>
      <c r="DH15">
        <v>85</v>
      </c>
      <c r="DI15">
        <f t="shared" si="25"/>
        <v>22.077922077922079</v>
      </c>
      <c r="DK15">
        <v>111</v>
      </c>
      <c r="DL15">
        <f t="shared" si="26"/>
        <v>30.327868852459016</v>
      </c>
      <c r="DP15" t="s">
        <v>303</v>
      </c>
      <c r="DQ15" t="s">
        <v>7</v>
      </c>
      <c r="DR15">
        <v>35</v>
      </c>
      <c r="DS15">
        <f t="shared" si="27"/>
        <v>11.146496815286625</v>
      </c>
      <c r="DU15">
        <v>35</v>
      </c>
      <c r="DV15">
        <f t="shared" si="28"/>
        <v>10.703363914373089</v>
      </c>
      <c r="DX15">
        <v>4</v>
      </c>
      <c r="DY15">
        <f t="shared" si="29"/>
        <v>0.10083186286866651</v>
      </c>
      <c r="EA15">
        <v>12</v>
      </c>
      <c r="EB15">
        <f t="shared" si="30"/>
        <v>0.35523978685612789</v>
      </c>
      <c r="EF15" t="s">
        <v>303</v>
      </c>
      <c r="EG15" t="s">
        <v>16</v>
      </c>
      <c r="EH15">
        <v>4</v>
      </c>
      <c r="EI15">
        <f t="shared" si="31"/>
        <v>0.18450184501845018</v>
      </c>
      <c r="EK15">
        <v>9</v>
      </c>
      <c r="EL15">
        <f t="shared" si="32"/>
        <v>1.7578125</v>
      </c>
      <c r="EN15">
        <v>3</v>
      </c>
      <c r="EO15">
        <f t="shared" si="33"/>
        <v>0.10984987184181619</v>
      </c>
      <c r="EQ15">
        <v>3</v>
      </c>
      <c r="ER15">
        <f t="shared" si="34"/>
        <v>1.2658227848101267</v>
      </c>
    </row>
    <row r="16" spans="1:148" x14ac:dyDescent="0.25">
      <c r="A16" t="s">
        <v>303</v>
      </c>
      <c r="B16" t="s">
        <v>87</v>
      </c>
      <c r="C16">
        <v>73</v>
      </c>
      <c r="D16">
        <f t="shared" si="1"/>
        <v>9.125</v>
      </c>
      <c r="G16" t="s">
        <v>303</v>
      </c>
      <c r="H16" t="s">
        <v>74</v>
      </c>
      <c r="I16">
        <v>29</v>
      </c>
      <c r="J16">
        <f t="shared" si="2"/>
        <v>3.0687830687830688</v>
      </c>
      <c r="M16" t="s">
        <v>303</v>
      </c>
      <c r="N16" s="10" t="s">
        <v>423</v>
      </c>
      <c r="O16">
        <v>20</v>
      </c>
      <c r="P16">
        <f t="shared" si="3"/>
        <v>4.7846889952153111</v>
      </c>
      <c r="R16">
        <v>0</v>
      </c>
      <c r="S16">
        <f t="shared" si="4"/>
        <v>0</v>
      </c>
      <c r="U16">
        <v>0</v>
      </c>
      <c r="V16">
        <f t="shared" si="0"/>
        <v>0</v>
      </c>
      <c r="X16">
        <v>0</v>
      </c>
      <c r="Y16">
        <f t="shared" si="5"/>
        <v>0</v>
      </c>
      <c r="AC16" t="s">
        <v>305</v>
      </c>
      <c r="AD16" s="1" t="s">
        <v>457</v>
      </c>
      <c r="AE16">
        <v>2</v>
      </c>
      <c r="AF16">
        <f t="shared" si="6"/>
        <v>0.68259385665529015</v>
      </c>
      <c r="AH16">
        <v>0</v>
      </c>
      <c r="AI16">
        <f t="shared" si="7"/>
        <v>0</v>
      </c>
      <c r="AK16">
        <v>0</v>
      </c>
      <c r="AL16">
        <f t="shared" si="8"/>
        <v>0</v>
      </c>
      <c r="AN16">
        <v>0</v>
      </c>
      <c r="AO16">
        <f t="shared" si="9"/>
        <v>0</v>
      </c>
      <c r="AS16" t="s">
        <v>305</v>
      </c>
      <c r="AT16" s="25" t="s">
        <v>472</v>
      </c>
      <c r="AU16" s="4">
        <v>1</v>
      </c>
      <c r="AV16" s="4">
        <f t="shared" si="10"/>
        <v>0.45871559633027525</v>
      </c>
      <c r="AW16" s="4"/>
      <c r="AX16">
        <v>0</v>
      </c>
      <c r="AY16">
        <f t="shared" si="11"/>
        <v>0</v>
      </c>
      <c r="BA16">
        <v>0</v>
      </c>
      <c r="BB16">
        <f t="shared" si="12"/>
        <v>0</v>
      </c>
      <c r="BD16">
        <v>0</v>
      </c>
      <c r="BE16">
        <f t="shared" si="13"/>
        <v>0</v>
      </c>
      <c r="BI16" s="9" t="s">
        <v>303</v>
      </c>
      <c r="BJ16" s="26" t="s">
        <v>18</v>
      </c>
      <c r="BK16" s="9">
        <v>4</v>
      </c>
      <c r="BL16" s="9">
        <f t="shared" si="14"/>
        <v>0.17777777777777778</v>
      </c>
      <c r="BM16" s="9"/>
      <c r="BN16" s="9">
        <v>7</v>
      </c>
      <c r="BO16" s="9">
        <f t="shared" si="15"/>
        <v>0.24535576586049773</v>
      </c>
      <c r="BP16" s="9"/>
      <c r="BQ16" s="9">
        <v>0</v>
      </c>
      <c r="BR16">
        <f t="shared" si="16"/>
        <v>0</v>
      </c>
      <c r="BV16" t="s">
        <v>303</v>
      </c>
      <c r="BW16" t="s">
        <v>460</v>
      </c>
      <c r="BX16">
        <v>1</v>
      </c>
      <c r="BY16">
        <f t="shared" si="17"/>
        <v>0.21739130434782608</v>
      </c>
      <c r="CA16">
        <v>0</v>
      </c>
      <c r="CB16">
        <f t="shared" si="18"/>
        <v>0</v>
      </c>
      <c r="CD16">
        <v>0</v>
      </c>
      <c r="CE16">
        <f t="shared" si="19"/>
        <v>0</v>
      </c>
      <c r="CI16" t="s">
        <v>303</v>
      </c>
      <c r="CJ16" t="s">
        <v>7</v>
      </c>
      <c r="CK16">
        <v>9</v>
      </c>
      <c r="CL16">
        <f t="shared" si="20"/>
        <v>4.7120418848167542</v>
      </c>
      <c r="CN16">
        <v>5</v>
      </c>
      <c r="CO16">
        <f t="shared" si="21"/>
        <v>1.9011406844106464</v>
      </c>
      <c r="CQ16">
        <v>38</v>
      </c>
      <c r="CR16">
        <f t="shared" si="22"/>
        <v>13.194444444444445</v>
      </c>
      <c r="CV16" t="s">
        <v>303</v>
      </c>
      <c r="CW16" s="1" t="s">
        <v>23</v>
      </c>
      <c r="CX16">
        <v>2</v>
      </c>
      <c r="CY16">
        <f t="shared" si="23"/>
        <v>0.516795865633075</v>
      </c>
      <c r="DC16" t="s">
        <v>303</v>
      </c>
      <c r="DD16" t="s">
        <v>7</v>
      </c>
      <c r="DE16">
        <v>18</v>
      </c>
      <c r="DF16">
        <f t="shared" si="24"/>
        <v>4.0723981900452486</v>
      </c>
      <c r="DH16">
        <v>11</v>
      </c>
      <c r="DI16">
        <f t="shared" si="25"/>
        <v>2.8571428571428572</v>
      </c>
      <c r="DK16">
        <v>0</v>
      </c>
      <c r="DL16">
        <f t="shared" si="26"/>
        <v>0</v>
      </c>
      <c r="DP16" t="s">
        <v>303</v>
      </c>
      <c r="DQ16" t="s">
        <v>503</v>
      </c>
      <c r="DR16">
        <v>0</v>
      </c>
      <c r="DS16">
        <f t="shared" si="27"/>
        <v>0</v>
      </c>
      <c r="DU16">
        <v>3</v>
      </c>
      <c r="DV16">
        <f t="shared" si="28"/>
        <v>0.91743119266055051</v>
      </c>
      <c r="DX16">
        <v>0</v>
      </c>
      <c r="DY16">
        <f t="shared" si="29"/>
        <v>0</v>
      </c>
      <c r="EA16">
        <v>0</v>
      </c>
      <c r="EB16">
        <f t="shared" si="30"/>
        <v>0</v>
      </c>
      <c r="EF16" t="s">
        <v>303</v>
      </c>
      <c r="EG16" t="s">
        <v>7</v>
      </c>
      <c r="EH16">
        <v>8</v>
      </c>
      <c r="EI16">
        <f t="shared" si="31"/>
        <v>0.36900369003690037</v>
      </c>
      <c r="EK16">
        <v>6</v>
      </c>
      <c r="EL16">
        <f t="shared" si="32"/>
        <v>1.171875</v>
      </c>
      <c r="EN16">
        <v>4</v>
      </c>
      <c r="EO16">
        <f t="shared" si="33"/>
        <v>0.14646649578908827</v>
      </c>
      <c r="EQ16">
        <v>12</v>
      </c>
      <c r="ER16">
        <f t="shared" si="34"/>
        <v>5.0632911392405067</v>
      </c>
    </row>
    <row r="17" spans="1:148" x14ac:dyDescent="0.25">
      <c r="A17" t="s">
        <v>303</v>
      </c>
      <c r="B17" t="s">
        <v>74</v>
      </c>
      <c r="C17">
        <v>137</v>
      </c>
      <c r="D17">
        <f t="shared" si="1"/>
        <v>17.125</v>
      </c>
      <c r="G17" t="s">
        <v>303</v>
      </c>
      <c r="H17" t="s">
        <v>104</v>
      </c>
      <c r="I17">
        <v>133</v>
      </c>
      <c r="J17">
        <f t="shared" si="2"/>
        <v>14.074074074074074</v>
      </c>
      <c r="M17" t="s">
        <v>303</v>
      </c>
      <c r="N17" s="10" t="s">
        <v>227</v>
      </c>
      <c r="O17">
        <v>13</v>
      </c>
      <c r="P17">
        <f t="shared" si="3"/>
        <v>3.1100478468899522</v>
      </c>
      <c r="R17">
        <v>0</v>
      </c>
      <c r="S17">
        <f t="shared" si="4"/>
        <v>0</v>
      </c>
      <c r="U17">
        <v>0</v>
      </c>
      <c r="V17">
        <f t="shared" si="0"/>
        <v>0</v>
      </c>
      <c r="X17">
        <v>0</v>
      </c>
      <c r="Y17">
        <f t="shared" si="5"/>
        <v>0</v>
      </c>
      <c r="AC17" t="s">
        <v>305</v>
      </c>
      <c r="AD17" s="1" t="s">
        <v>43</v>
      </c>
      <c r="AE17">
        <v>0</v>
      </c>
      <c r="AF17">
        <f t="shared" si="6"/>
        <v>0</v>
      </c>
      <c r="AH17">
        <v>0</v>
      </c>
      <c r="AI17">
        <f t="shared" si="7"/>
        <v>0</v>
      </c>
      <c r="AK17">
        <v>0</v>
      </c>
      <c r="AL17">
        <f t="shared" si="8"/>
        <v>0</v>
      </c>
      <c r="AN17">
        <v>0</v>
      </c>
      <c r="AO17">
        <f t="shared" si="9"/>
        <v>0</v>
      </c>
      <c r="AS17" t="s">
        <v>305</v>
      </c>
      <c r="AT17" s="25" t="s">
        <v>201</v>
      </c>
      <c r="AU17" s="4">
        <v>5</v>
      </c>
      <c r="AV17" s="4">
        <f t="shared" si="10"/>
        <v>2.2935779816513762</v>
      </c>
      <c r="AW17" s="4"/>
      <c r="AX17">
        <v>0</v>
      </c>
      <c r="AY17">
        <f t="shared" si="11"/>
        <v>0</v>
      </c>
      <c r="BA17">
        <v>0</v>
      </c>
      <c r="BB17">
        <f t="shared" si="12"/>
        <v>0</v>
      </c>
      <c r="BD17">
        <v>0</v>
      </c>
      <c r="BE17">
        <f t="shared" si="13"/>
        <v>0</v>
      </c>
      <c r="BI17" s="9" t="s">
        <v>303</v>
      </c>
      <c r="BJ17" s="26" t="s">
        <v>19</v>
      </c>
      <c r="BK17" s="9">
        <v>10</v>
      </c>
      <c r="BL17" s="9">
        <f t="shared" si="14"/>
        <v>0.44444444444444442</v>
      </c>
      <c r="BM17" s="9"/>
      <c r="BN17" s="9">
        <v>41</v>
      </c>
      <c r="BO17" s="9">
        <f t="shared" si="15"/>
        <v>1.4370837714686295</v>
      </c>
      <c r="BP17" s="9"/>
      <c r="BQ17" s="9">
        <v>659</v>
      </c>
      <c r="BR17">
        <f t="shared" si="16"/>
        <v>16.475000000000001</v>
      </c>
      <c r="BV17" t="s">
        <v>303</v>
      </c>
      <c r="BW17" t="s">
        <v>17</v>
      </c>
      <c r="BX17">
        <v>80</v>
      </c>
      <c r="BY17">
        <f t="shared" si="17"/>
        <v>17.391304347826086</v>
      </c>
      <c r="CA17">
        <v>49</v>
      </c>
      <c r="CB17">
        <f t="shared" si="18"/>
        <v>17.948717948717949</v>
      </c>
      <c r="CD17">
        <v>60</v>
      </c>
      <c r="CE17">
        <f t="shared" si="19"/>
        <v>22.388059701492537</v>
      </c>
      <c r="CI17" t="s">
        <v>303</v>
      </c>
      <c r="CJ17" t="s">
        <v>17</v>
      </c>
      <c r="CK17">
        <v>4</v>
      </c>
      <c r="CL17">
        <f t="shared" si="20"/>
        <v>2.0942408376963351</v>
      </c>
      <c r="CN17">
        <v>70</v>
      </c>
      <c r="CO17">
        <f t="shared" si="21"/>
        <v>26.615969581749049</v>
      </c>
      <c r="CQ17">
        <v>7</v>
      </c>
      <c r="CR17">
        <f t="shared" si="22"/>
        <v>2.4305555555555558</v>
      </c>
      <c r="CV17" t="s">
        <v>303</v>
      </c>
      <c r="CW17" s="1" t="s">
        <v>274</v>
      </c>
      <c r="CX17">
        <v>53</v>
      </c>
      <c r="CY17">
        <f t="shared" si="23"/>
        <v>13.695090439276486</v>
      </c>
      <c r="DC17" t="s">
        <v>303</v>
      </c>
      <c r="DD17" s="1" t="s">
        <v>18</v>
      </c>
      <c r="DE17">
        <v>5</v>
      </c>
      <c r="DF17">
        <f t="shared" si="24"/>
        <v>1.1312217194570136</v>
      </c>
      <c r="DH17">
        <v>0</v>
      </c>
      <c r="DI17">
        <f t="shared" si="25"/>
        <v>0</v>
      </c>
      <c r="DK17">
        <v>0</v>
      </c>
      <c r="DL17">
        <f t="shared" si="26"/>
        <v>0</v>
      </c>
      <c r="DP17" t="s">
        <v>303</v>
      </c>
      <c r="DQ17" t="s">
        <v>17</v>
      </c>
      <c r="DR17">
        <v>12</v>
      </c>
      <c r="DS17">
        <f t="shared" si="27"/>
        <v>3.8216560509554141</v>
      </c>
      <c r="DU17">
        <v>10</v>
      </c>
      <c r="DV17">
        <f t="shared" si="28"/>
        <v>3.0581039755351682</v>
      </c>
      <c r="DX17">
        <v>1280</v>
      </c>
      <c r="DY17">
        <f t="shared" si="29"/>
        <v>32.26619611797328</v>
      </c>
      <c r="EA17">
        <v>1020</v>
      </c>
      <c r="EB17">
        <f t="shared" si="30"/>
        <v>30.195381882770871</v>
      </c>
      <c r="EF17" t="s">
        <v>303</v>
      </c>
      <c r="EG17" t="s">
        <v>81</v>
      </c>
      <c r="EH17">
        <v>0</v>
      </c>
      <c r="EI17">
        <f t="shared" si="31"/>
        <v>0</v>
      </c>
      <c r="EK17">
        <v>0</v>
      </c>
      <c r="EL17">
        <f t="shared" si="32"/>
        <v>0</v>
      </c>
      <c r="EN17">
        <v>1</v>
      </c>
      <c r="EO17">
        <f t="shared" si="33"/>
        <v>3.6616623947272067E-2</v>
      </c>
      <c r="EQ17">
        <v>0</v>
      </c>
      <c r="ER17">
        <f t="shared" si="34"/>
        <v>0</v>
      </c>
    </row>
    <row r="18" spans="1:148" x14ac:dyDescent="0.25">
      <c r="A18" t="s">
        <v>303</v>
      </c>
      <c r="B18" t="s">
        <v>109</v>
      </c>
      <c r="C18">
        <v>19</v>
      </c>
      <c r="D18">
        <f t="shared" si="1"/>
        <v>2.375</v>
      </c>
      <c r="G18" t="s">
        <v>303</v>
      </c>
      <c r="H18" t="s">
        <v>4</v>
      </c>
      <c r="I18">
        <v>133</v>
      </c>
      <c r="J18">
        <f t="shared" si="2"/>
        <v>14.074074074074074</v>
      </c>
      <c r="M18" t="s">
        <v>303</v>
      </c>
      <c r="N18" s="10" t="s">
        <v>424</v>
      </c>
      <c r="O18">
        <v>3</v>
      </c>
      <c r="P18">
        <f t="shared" si="3"/>
        <v>0.71770334928229662</v>
      </c>
      <c r="R18">
        <v>2</v>
      </c>
      <c r="S18">
        <f t="shared" si="4"/>
        <v>0.80971659919028338</v>
      </c>
      <c r="U18">
        <v>0</v>
      </c>
      <c r="V18">
        <f t="shared" si="0"/>
        <v>0</v>
      </c>
      <c r="X18">
        <v>0</v>
      </c>
      <c r="Y18">
        <f t="shared" si="5"/>
        <v>0</v>
      </c>
      <c r="AC18" t="s">
        <v>303</v>
      </c>
      <c r="AD18" s="1" t="s">
        <v>28</v>
      </c>
      <c r="AE18">
        <v>5</v>
      </c>
      <c r="AF18">
        <f t="shared" si="6"/>
        <v>1.7064846416382253</v>
      </c>
      <c r="AH18">
        <v>1</v>
      </c>
      <c r="AI18">
        <f t="shared" si="7"/>
        <v>0.5714285714285714</v>
      </c>
      <c r="AK18">
        <v>2</v>
      </c>
      <c r="AL18">
        <f t="shared" si="8"/>
        <v>0.97087378640776689</v>
      </c>
      <c r="AN18">
        <v>2</v>
      </c>
      <c r="AO18">
        <f t="shared" si="9"/>
        <v>1.2738853503184715</v>
      </c>
      <c r="AS18" t="s">
        <v>303</v>
      </c>
      <c r="AT18" s="23" t="s">
        <v>584</v>
      </c>
      <c r="AU18">
        <v>7</v>
      </c>
      <c r="AV18" s="4">
        <f t="shared" si="10"/>
        <v>3.2110091743119269</v>
      </c>
      <c r="AX18">
        <v>5</v>
      </c>
      <c r="AY18">
        <f t="shared" si="11"/>
        <v>2.0661157024793391</v>
      </c>
      <c r="BA18">
        <v>3</v>
      </c>
      <c r="BB18">
        <f t="shared" si="12"/>
        <v>2.7777777777777777</v>
      </c>
      <c r="BD18">
        <v>3</v>
      </c>
      <c r="BE18">
        <f t="shared" si="13"/>
        <v>2.3809523809523809</v>
      </c>
      <c r="BI18" s="9" t="s">
        <v>303</v>
      </c>
      <c r="BJ18" s="26" t="s">
        <v>23</v>
      </c>
      <c r="BK18" s="9">
        <v>0</v>
      </c>
      <c r="BL18" s="9">
        <f t="shared" si="14"/>
        <v>0</v>
      </c>
      <c r="BM18" s="9"/>
      <c r="BN18" s="9">
        <v>1</v>
      </c>
      <c r="BO18" s="9">
        <f t="shared" si="15"/>
        <v>3.5050823694356817E-2</v>
      </c>
      <c r="BP18" s="9"/>
      <c r="BQ18" s="9">
        <v>0</v>
      </c>
      <c r="BR18">
        <f t="shared" si="16"/>
        <v>0</v>
      </c>
      <c r="BV18" t="s">
        <v>303</v>
      </c>
      <c r="BW18" s="1" t="s">
        <v>18</v>
      </c>
      <c r="BX18">
        <v>4</v>
      </c>
      <c r="BY18">
        <f t="shared" si="17"/>
        <v>0.86956521739130432</v>
      </c>
      <c r="CA18">
        <v>7</v>
      </c>
      <c r="CB18">
        <f t="shared" si="18"/>
        <v>2.5641025641025639</v>
      </c>
      <c r="CD18">
        <v>7</v>
      </c>
      <c r="CE18">
        <f t="shared" si="19"/>
        <v>2.6119402985074625</v>
      </c>
      <c r="CI18" t="s">
        <v>303</v>
      </c>
      <c r="CJ18" s="1" t="s">
        <v>410</v>
      </c>
      <c r="CK18">
        <v>1</v>
      </c>
      <c r="CL18">
        <f t="shared" si="20"/>
        <v>0.52356020942408377</v>
      </c>
      <c r="CN18">
        <v>7</v>
      </c>
      <c r="CO18">
        <f t="shared" si="21"/>
        <v>2.6615969581749046</v>
      </c>
      <c r="CQ18">
        <v>1</v>
      </c>
      <c r="CR18">
        <f t="shared" si="22"/>
        <v>0.34722222222222221</v>
      </c>
      <c r="CV18" t="s">
        <v>303</v>
      </c>
      <c r="CW18" s="1" t="s">
        <v>243</v>
      </c>
      <c r="CX18">
        <v>3</v>
      </c>
      <c r="CY18">
        <f t="shared" si="23"/>
        <v>0.77519379844961245</v>
      </c>
      <c r="DC18" t="s">
        <v>303</v>
      </c>
      <c r="DD18" s="1" t="s">
        <v>19</v>
      </c>
      <c r="DE18">
        <v>62</v>
      </c>
      <c r="DF18">
        <f t="shared" si="24"/>
        <v>14.027149321266968</v>
      </c>
      <c r="DH18">
        <v>57</v>
      </c>
      <c r="DI18">
        <f t="shared" si="25"/>
        <v>14.805194805194805</v>
      </c>
      <c r="DK18">
        <v>75</v>
      </c>
      <c r="DL18">
        <f t="shared" si="26"/>
        <v>20.491803278688526</v>
      </c>
      <c r="DP18" t="s">
        <v>303</v>
      </c>
      <c r="DQ18" s="1" t="s">
        <v>127</v>
      </c>
      <c r="DR18">
        <v>2</v>
      </c>
      <c r="DS18">
        <f t="shared" si="27"/>
        <v>0.63694267515923575</v>
      </c>
      <c r="DU18">
        <v>0</v>
      </c>
      <c r="DV18">
        <f t="shared" si="28"/>
        <v>0</v>
      </c>
      <c r="DX18">
        <v>1</v>
      </c>
      <c r="DY18">
        <f t="shared" si="29"/>
        <v>2.5207965717166627E-2</v>
      </c>
      <c r="EA18">
        <v>0</v>
      </c>
      <c r="EB18">
        <f t="shared" si="30"/>
        <v>0</v>
      </c>
      <c r="EF18" t="s">
        <v>303</v>
      </c>
      <c r="EG18" t="s">
        <v>17</v>
      </c>
      <c r="EH18">
        <v>0</v>
      </c>
      <c r="EI18">
        <f t="shared" si="31"/>
        <v>0</v>
      </c>
      <c r="EK18">
        <v>0</v>
      </c>
      <c r="EL18">
        <f t="shared" si="32"/>
        <v>0</v>
      </c>
      <c r="EN18">
        <v>1</v>
      </c>
      <c r="EO18">
        <f t="shared" si="33"/>
        <v>3.6616623947272067E-2</v>
      </c>
      <c r="EQ18">
        <v>0</v>
      </c>
      <c r="ER18">
        <f t="shared" si="34"/>
        <v>0</v>
      </c>
    </row>
    <row r="19" spans="1:148" x14ac:dyDescent="0.25">
      <c r="A19" t="s">
        <v>303</v>
      </c>
      <c r="B19" t="s">
        <v>118</v>
      </c>
      <c r="C19">
        <v>53</v>
      </c>
      <c r="D19">
        <f t="shared" si="1"/>
        <v>6.625</v>
      </c>
      <c r="G19" t="s">
        <v>303</v>
      </c>
      <c r="H19" t="s">
        <v>135</v>
      </c>
      <c r="I19">
        <v>17</v>
      </c>
      <c r="J19">
        <f t="shared" si="2"/>
        <v>1.7989417989417988</v>
      </c>
      <c r="M19" t="s">
        <v>303</v>
      </c>
      <c r="N19" s="10" t="s">
        <v>192</v>
      </c>
      <c r="O19">
        <v>6</v>
      </c>
      <c r="P19">
        <f t="shared" si="3"/>
        <v>1.4354066985645932</v>
      </c>
      <c r="R19">
        <v>4</v>
      </c>
      <c r="S19">
        <f t="shared" si="4"/>
        <v>1.6194331983805668</v>
      </c>
      <c r="U19">
        <v>30</v>
      </c>
      <c r="V19">
        <f t="shared" si="0"/>
        <v>10.791366906474821</v>
      </c>
      <c r="X19">
        <v>8</v>
      </c>
      <c r="Y19">
        <f t="shared" si="5"/>
        <v>7.8431372549019605</v>
      </c>
      <c r="AC19" t="s">
        <v>303</v>
      </c>
      <c r="AD19" t="s">
        <v>4</v>
      </c>
      <c r="AE19">
        <v>42</v>
      </c>
      <c r="AF19">
        <f t="shared" si="6"/>
        <v>14.334470989761092</v>
      </c>
      <c r="AH19">
        <v>32</v>
      </c>
      <c r="AI19">
        <f t="shared" si="7"/>
        <v>18.285714285714285</v>
      </c>
      <c r="AK19">
        <v>47</v>
      </c>
      <c r="AL19">
        <f t="shared" si="8"/>
        <v>22.815533980582526</v>
      </c>
      <c r="AN19">
        <v>45</v>
      </c>
      <c r="AO19">
        <f t="shared" si="9"/>
        <v>28.662420382165603</v>
      </c>
      <c r="AS19" t="s">
        <v>303</v>
      </c>
      <c r="AT19" s="23" t="s">
        <v>586</v>
      </c>
      <c r="AU19">
        <v>31</v>
      </c>
      <c r="AV19" s="4">
        <f t="shared" si="10"/>
        <v>14.220183486238533</v>
      </c>
      <c r="AX19">
        <v>30</v>
      </c>
      <c r="AY19">
        <f t="shared" si="11"/>
        <v>12.396694214876034</v>
      </c>
      <c r="BA19">
        <v>7</v>
      </c>
      <c r="BB19">
        <f t="shared" si="12"/>
        <v>6.481481481481481</v>
      </c>
      <c r="BD19">
        <v>29</v>
      </c>
      <c r="BE19">
        <f t="shared" si="13"/>
        <v>23.015873015873016</v>
      </c>
      <c r="BI19" s="9" t="s">
        <v>303</v>
      </c>
      <c r="BJ19" s="26" t="s">
        <v>274</v>
      </c>
      <c r="BK19" s="9">
        <v>1281</v>
      </c>
      <c r="BL19" s="9">
        <f t="shared" si="14"/>
        <v>56.933333333333337</v>
      </c>
      <c r="BM19" s="9"/>
      <c r="BN19" s="9">
        <v>1270</v>
      </c>
      <c r="BO19" s="9">
        <f t="shared" si="15"/>
        <v>44.514546091833154</v>
      </c>
      <c r="BP19" s="9"/>
      <c r="BQ19" s="9">
        <v>1154</v>
      </c>
      <c r="BR19">
        <f t="shared" si="16"/>
        <v>28.849999999999998</v>
      </c>
      <c r="BV19" t="s">
        <v>303</v>
      </c>
      <c r="BW19" s="1" t="s">
        <v>19</v>
      </c>
      <c r="BX19">
        <v>38</v>
      </c>
      <c r="BY19">
        <f t="shared" si="17"/>
        <v>8.2608695652173907</v>
      </c>
      <c r="CA19">
        <v>31</v>
      </c>
      <c r="CB19">
        <f t="shared" si="18"/>
        <v>11.355311355311356</v>
      </c>
      <c r="CD19">
        <v>20</v>
      </c>
      <c r="CE19">
        <f t="shared" si="19"/>
        <v>7.4626865671641784</v>
      </c>
      <c r="CI19" t="s">
        <v>303</v>
      </c>
      <c r="CJ19" s="1" t="s">
        <v>19</v>
      </c>
      <c r="CK19">
        <v>17</v>
      </c>
      <c r="CL19">
        <f t="shared" si="20"/>
        <v>8.9005235602094235</v>
      </c>
      <c r="CN19">
        <v>3</v>
      </c>
      <c r="CO19">
        <f t="shared" si="21"/>
        <v>1.1406844106463878</v>
      </c>
      <c r="CQ19">
        <v>12</v>
      </c>
      <c r="CR19">
        <f t="shared" si="22"/>
        <v>4.1666666666666661</v>
      </c>
      <c r="CV19" t="s">
        <v>303</v>
      </c>
      <c r="CW19" s="1" t="s">
        <v>414</v>
      </c>
      <c r="CX19">
        <v>3</v>
      </c>
      <c r="CY19">
        <f t="shared" si="23"/>
        <v>0.77519379844961245</v>
      </c>
      <c r="DC19" t="s">
        <v>303</v>
      </c>
      <c r="DD19" s="1" t="s">
        <v>23</v>
      </c>
      <c r="DE19">
        <v>1</v>
      </c>
      <c r="DF19">
        <f t="shared" si="24"/>
        <v>0.22624434389140274</v>
      </c>
      <c r="DH19">
        <v>0</v>
      </c>
      <c r="DI19">
        <f t="shared" si="25"/>
        <v>0</v>
      </c>
      <c r="DK19">
        <v>0</v>
      </c>
      <c r="DL19">
        <f t="shared" si="26"/>
        <v>0</v>
      </c>
      <c r="DP19" t="s">
        <v>303</v>
      </c>
      <c r="DQ19" s="1" t="s">
        <v>19</v>
      </c>
      <c r="DR19">
        <v>35</v>
      </c>
      <c r="DS19">
        <f t="shared" si="27"/>
        <v>11.146496815286625</v>
      </c>
      <c r="DU19">
        <v>43</v>
      </c>
      <c r="DV19">
        <f t="shared" si="28"/>
        <v>13.149847094801222</v>
      </c>
      <c r="DX19">
        <v>33</v>
      </c>
      <c r="DY19">
        <f t="shared" si="29"/>
        <v>0.83186286866649872</v>
      </c>
      <c r="EA19">
        <v>55</v>
      </c>
      <c r="EB19">
        <f t="shared" si="30"/>
        <v>1.6281823564239195</v>
      </c>
      <c r="EF19" t="s">
        <v>303</v>
      </c>
      <c r="EG19" s="1" t="s">
        <v>516</v>
      </c>
      <c r="EH19">
        <v>0</v>
      </c>
      <c r="EI19">
        <f t="shared" si="31"/>
        <v>0</v>
      </c>
      <c r="EK19">
        <v>0</v>
      </c>
      <c r="EL19">
        <f t="shared" si="32"/>
        <v>0</v>
      </c>
      <c r="EN19">
        <v>0</v>
      </c>
      <c r="EO19">
        <f t="shared" si="33"/>
        <v>0</v>
      </c>
      <c r="EQ19">
        <v>1</v>
      </c>
      <c r="ER19">
        <f t="shared" si="34"/>
        <v>0.42194092827004215</v>
      </c>
    </row>
    <row r="20" spans="1:148" x14ac:dyDescent="0.25">
      <c r="A20" t="s">
        <v>303</v>
      </c>
      <c r="B20" t="s">
        <v>119</v>
      </c>
      <c r="C20">
        <v>25</v>
      </c>
      <c r="D20">
        <f t="shared" si="1"/>
        <v>3.125</v>
      </c>
      <c r="G20" t="s">
        <v>303</v>
      </c>
      <c r="H20" s="1" t="s">
        <v>139</v>
      </c>
      <c r="I20">
        <v>15</v>
      </c>
      <c r="J20">
        <f t="shared" si="2"/>
        <v>1.5873015873015872</v>
      </c>
      <c r="M20" t="s">
        <v>303</v>
      </c>
      <c r="N20" s="11" t="s">
        <v>139</v>
      </c>
      <c r="O20">
        <v>1</v>
      </c>
      <c r="P20">
        <f t="shared" si="3"/>
        <v>0.23923444976076555</v>
      </c>
      <c r="R20">
        <v>1</v>
      </c>
      <c r="S20">
        <f t="shared" si="4"/>
        <v>0.40485829959514169</v>
      </c>
      <c r="U20">
        <v>5</v>
      </c>
      <c r="V20">
        <f t="shared" si="0"/>
        <v>1.7985611510791366</v>
      </c>
      <c r="X20">
        <v>0</v>
      </c>
      <c r="Y20">
        <f t="shared" si="5"/>
        <v>0</v>
      </c>
      <c r="AC20" t="s">
        <v>303</v>
      </c>
      <c r="AD20" s="1" t="s">
        <v>432</v>
      </c>
      <c r="AE20">
        <v>2</v>
      </c>
      <c r="AF20">
        <f t="shared" si="6"/>
        <v>0.68259385665529015</v>
      </c>
      <c r="AH20">
        <v>7</v>
      </c>
      <c r="AI20">
        <f t="shared" si="7"/>
        <v>4</v>
      </c>
      <c r="AK20">
        <v>1</v>
      </c>
      <c r="AL20">
        <f t="shared" si="8"/>
        <v>0.48543689320388345</v>
      </c>
      <c r="AN20">
        <v>1</v>
      </c>
      <c r="AO20">
        <f t="shared" si="9"/>
        <v>0.63694267515923575</v>
      </c>
      <c r="AS20" t="s">
        <v>303</v>
      </c>
      <c r="AT20" s="23" t="s">
        <v>587</v>
      </c>
      <c r="AU20">
        <v>2</v>
      </c>
      <c r="AV20" s="4">
        <f t="shared" si="10"/>
        <v>0.91743119266055051</v>
      </c>
      <c r="AX20">
        <v>1</v>
      </c>
      <c r="AY20">
        <f t="shared" si="11"/>
        <v>0.41322314049586778</v>
      </c>
      <c r="BA20">
        <v>8</v>
      </c>
      <c r="BB20">
        <f t="shared" si="12"/>
        <v>7.4074074074074066</v>
      </c>
      <c r="BD20">
        <v>1</v>
      </c>
      <c r="BE20">
        <f t="shared" si="13"/>
        <v>0.79365079365079361</v>
      </c>
      <c r="BI20" s="9" t="s">
        <v>303</v>
      </c>
      <c r="BJ20" s="26" t="s">
        <v>30</v>
      </c>
      <c r="BK20" s="9">
        <v>17</v>
      </c>
      <c r="BL20" s="9">
        <f t="shared" si="14"/>
        <v>0.75555555555555554</v>
      </c>
      <c r="BM20" s="9"/>
      <c r="BN20" s="9">
        <v>1</v>
      </c>
      <c r="BO20" s="9">
        <f t="shared" si="15"/>
        <v>3.5050823694356817E-2</v>
      </c>
      <c r="BP20" s="9"/>
      <c r="BQ20" s="9">
        <v>0</v>
      </c>
      <c r="BR20">
        <f t="shared" si="16"/>
        <v>0</v>
      </c>
      <c r="BV20" t="s">
        <v>303</v>
      </c>
      <c r="BW20" s="1" t="s">
        <v>23</v>
      </c>
      <c r="BX20">
        <v>0</v>
      </c>
      <c r="BY20">
        <f t="shared" si="17"/>
        <v>0</v>
      </c>
      <c r="CA20">
        <v>2</v>
      </c>
      <c r="CB20">
        <f t="shared" si="18"/>
        <v>0.73260073260073255</v>
      </c>
      <c r="CD20">
        <v>0</v>
      </c>
      <c r="CE20">
        <f t="shared" si="19"/>
        <v>0</v>
      </c>
      <c r="CI20" t="s">
        <v>303</v>
      </c>
      <c r="CJ20" s="1" t="s">
        <v>23</v>
      </c>
      <c r="CK20">
        <v>4</v>
      </c>
      <c r="CL20">
        <f t="shared" si="20"/>
        <v>2.0942408376963351</v>
      </c>
      <c r="CN20">
        <v>0</v>
      </c>
      <c r="CO20">
        <f t="shared" si="21"/>
        <v>0</v>
      </c>
      <c r="CQ20">
        <v>3</v>
      </c>
      <c r="CR20">
        <f t="shared" si="22"/>
        <v>1.0416666666666665</v>
      </c>
      <c r="CV20" t="s">
        <v>303</v>
      </c>
      <c r="CW20" s="1" t="s">
        <v>28</v>
      </c>
      <c r="CX20">
        <v>5</v>
      </c>
      <c r="CY20">
        <f t="shared" si="23"/>
        <v>1.2919896640826873</v>
      </c>
      <c r="DC20" t="s">
        <v>303</v>
      </c>
      <c r="DD20" s="1" t="s">
        <v>274</v>
      </c>
      <c r="DE20">
        <v>128</v>
      </c>
      <c r="DF20">
        <f t="shared" si="24"/>
        <v>28.959276018099551</v>
      </c>
      <c r="DH20">
        <v>54</v>
      </c>
      <c r="DI20">
        <f t="shared" si="25"/>
        <v>14.025974025974024</v>
      </c>
      <c r="DK20">
        <v>68</v>
      </c>
      <c r="DL20">
        <f t="shared" si="26"/>
        <v>18.579234972677597</v>
      </c>
      <c r="DP20" t="s">
        <v>303</v>
      </c>
      <c r="DQ20" s="1" t="s">
        <v>23</v>
      </c>
      <c r="DR20">
        <v>3</v>
      </c>
      <c r="DS20">
        <f t="shared" si="27"/>
        <v>0.95541401273885351</v>
      </c>
      <c r="DU20">
        <v>10</v>
      </c>
      <c r="DV20">
        <f t="shared" si="28"/>
        <v>3.0581039755351682</v>
      </c>
      <c r="DX20">
        <v>2</v>
      </c>
      <c r="DY20">
        <f t="shared" si="29"/>
        <v>5.0415931434333254E-2</v>
      </c>
      <c r="EA20">
        <v>0</v>
      </c>
      <c r="EB20">
        <f t="shared" si="30"/>
        <v>0</v>
      </c>
      <c r="EF20" t="s">
        <v>303</v>
      </c>
      <c r="EG20" s="1" t="s">
        <v>19</v>
      </c>
      <c r="EH20">
        <v>5</v>
      </c>
      <c r="EI20">
        <f t="shared" si="31"/>
        <v>0.23062730627306272</v>
      </c>
      <c r="EK20">
        <v>32</v>
      </c>
      <c r="EL20">
        <f t="shared" si="32"/>
        <v>6.25</v>
      </c>
      <c r="EN20">
        <v>22</v>
      </c>
      <c r="EO20">
        <f t="shared" si="33"/>
        <v>0.8055657268399854</v>
      </c>
      <c r="EQ20">
        <v>15</v>
      </c>
      <c r="ER20">
        <f t="shared" si="34"/>
        <v>6.3291139240506329</v>
      </c>
    </row>
    <row r="21" spans="1:148" x14ac:dyDescent="0.25">
      <c r="A21" t="s">
        <v>303</v>
      </c>
      <c r="B21" s="1" t="s">
        <v>415</v>
      </c>
      <c r="C21">
        <v>42</v>
      </c>
      <c r="D21">
        <f t="shared" si="1"/>
        <v>5.25</v>
      </c>
      <c r="G21" t="s">
        <v>303</v>
      </c>
      <c r="H21" t="s">
        <v>78</v>
      </c>
      <c r="I21">
        <v>9</v>
      </c>
      <c r="J21">
        <f t="shared" si="2"/>
        <v>0.95238095238095244</v>
      </c>
      <c r="M21" t="s">
        <v>303</v>
      </c>
      <c r="N21" s="10" t="s">
        <v>360</v>
      </c>
      <c r="O21">
        <v>4</v>
      </c>
      <c r="P21">
        <f t="shared" si="3"/>
        <v>0.9569377990430622</v>
      </c>
      <c r="R21">
        <v>1</v>
      </c>
      <c r="S21">
        <f t="shared" si="4"/>
        <v>0.40485829959514169</v>
      </c>
      <c r="U21">
        <v>24</v>
      </c>
      <c r="V21">
        <f t="shared" si="0"/>
        <v>8.6330935251798557</v>
      </c>
      <c r="X21">
        <v>0</v>
      </c>
      <c r="Y21">
        <f t="shared" si="5"/>
        <v>0</v>
      </c>
      <c r="AC21" t="s">
        <v>303</v>
      </c>
      <c r="AD21" s="1" t="s">
        <v>39</v>
      </c>
      <c r="AE21">
        <v>46</v>
      </c>
      <c r="AF21">
        <f t="shared" si="6"/>
        <v>15.699658703071673</v>
      </c>
      <c r="AH21">
        <v>26</v>
      </c>
      <c r="AI21">
        <f t="shared" si="7"/>
        <v>14.857142857142858</v>
      </c>
      <c r="AK21">
        <v>37</v>
      </c>
      <c r="AL21">
        <f t="shared" si="8"/>
        <v>17.961165048543691</v>
      </c>
      <c r="AN21">
        <v>23</v>
      </c>
      <c r="AO21">
        <f t="shared" si="9"/>
        <v>14.64968152866242</v>
      </c>
      <c r="AS21" t="s">
        <v>303</v>
      </c>
      <c r="AT21" s="23" t="s">
        <v>588</v>
      </c>
      <c r="AU21">
        <v>32</v>
      </c>
      <c r="AV21" s="4">
        <f t="shared" si="10"/>
        <v>14.678899082568808</v>
      </c>
      <c r="AX21">
        <v>14</v>
      </c>
      <c r="AY21">
        <f t="shared" si="11"/>
        <v>5.785123966942149</v>
      </c>
      <c r="BA21">
        <v>14</v>
      </c>
      <c r="BB21">
        <f t="shared" si="12"/>
        <v>12.962962962962962</v>
      </c>
      <c r="BD21">
        <v>4</v>
      </c>
      <c r="BE21">
        <f t="shared" si="13"/>
        <v>3.1746031746031744</v>
      </c>
      <c r="BI21" s="9" t="s">
        <v>303</v>
      </c>
      <c r="BJ21" s="26" t="s">
        <v>28</v>
      </c>
      <c r="BK21" s="9">
        <v>1</v>
      </c>
      <c r="BL21" s="9">
        <f t="shared" si="14"/>
        <v>4.4444444444444446E-2</v>
      </c>
      <c r="BM21" s="9"/>
      <c r="BN21" s="9">
        <v>1</v>
      </c>
      <c r="BO21" s="9">
        <f t="shared" si="15"/>
        <v>3.5050823694356817E-2</v>
      </c>
      <c r="BP21" s="9"/>
      <c r="BQ21" s="9">
        <v>3</v>
      </c>
      <c r="BR21">
        <f t="shared" si="16"/>
        <v>7.4999999999999997E-2</v>
      </c>
      <c r="BV21" t="s">
        <v>303</v>
      </c>
      <c r="BW21" s="1" t="s">
        <v>274</v>
      </c>
      <c r="BX21">
        <v>0</v>
      </c>
      <c r="BY21">
        <f t="shared" si="17"/>
        <v>0</v>
      </c>
      <c r="CA21">
        <v>21</v>
      </c>
      <c r="CB21">
        <f t="shared" si="18"/>
        <v>7.6923076923076925</v>
      </c>
      <c r="CD21">
        <v>13</v>
      </c>
      <c r="CE21">
        <f t="shared" si="19"/>
        <v>4.8507462686567164</v>
      </c>
      <c r="CI21" t="s">
        <v>303</v>
      </c>
      <c r="CJ21" s="1" t="s">
        <v>274</v>
      </c>
      <c r="CK21">
        <v>10</v>
      </c>
      <c r="CL21">
        <f t="shared" si="20"/>
        <v>5.2356020942408374</v>
      </c>
      <c r="CN21">
        <v>7</v>
      </c>
      <c r="CO21">
        <f t="shared" si="21"/>
        <v>2.6615969581749046</v>
      </c>
      <c r="CQ21">
        <v>38</v>
      </c>
      <c r="CR21">
        <f t="shared" si="22"/>
        <v>13.194444444444445</v>
      </c>
      <c r="CV21" t="s">
        <v>303</v>
      </c>
      <c r="CW21" s="1" t="s">
        <v>555</v>
      </c>
      <c r="CX21">
        <v>6</v>
      </c>
      <c r="CY21">
        <f t="shared" si="23"/>
        <v>1.5503875968992249</v>
      </c>
      <c r="DC21" t="s">
        <v>303</v>
      </c>
      <c r="DD21" s="1" t="s">
        <v>502</v>
      </c>
      <c r="DE21">
        <v>2</v>
      </c>
      <c r="DF21">
        <f t="shared" si="24"/>
        <v>0.45248868778280549</v>
      </c>
      <c r="DH21">
        <v>7</v>
      </c>
      <c r="DI21">
        <f t="shared" si="25"/>
        <v>1.8181818181818181</v>
      </c>
      <c r="DK21">
        <v>1</v>
      </c>
      <c r="DL21">
        <f t="shared" si="26"/>
        <v>0.27322404371584702</v>
      </c>
      <c r="DP21" t="s">
        <v>303</v>
      </c>
      <c r="DQ21" s="1" t="s">
        <v>274</v>
      </c>
      <c r="DR21">
        <v>27</v>
      </c>
      <c r="DS21">
        <f t="shared" si="27"/>
        <v>8.598726114649681</v>
      </c>
      <c r="DU21">
        <v>38</v>
      </c>
      <c r="DV21">
        <f t="shared" si="28"/>
        <v>11.62079510703364</v>
      </c>
      <c r="DX21">
        <v>1300</v>
      </c>
      <c r="DY21">
        <f t="shared" si="29"/>
        <v>32.770355432316613</v>
      </c>
      <c r="EA21">
        <v>1095</v>
      </c>
      <c r="EB21">
        <f t="shared" si="30"/>
        <v>32.415630550621671</v>
      </c>
      <c r="EF21" t="s">
        <v>303</v>
      </c>
      <c r="EG21" s="1" t="s">
        <v>23</v>
      </c>
      <c r="EH21">
        <v>2</v>
      </c>
      <c r="EI21">
        <f t="shared" si="31"/>
        <v>9.2250922509225092E-2</v>
      </c>
      <c r="EK21">
        <v>3</v>
      </c>
      <c r="EL21">
        <f t="shared" si="32"/>
        <v>0.5859375</v>
      </c>
      <c r="EN21">
        <v>1</v>
      </c>
      <c r="EO21">
        <f t="shared" si="33"/>
        <v>3.6616623947272067E-2</v>
      </c>
      <c r="EQ21">
        <v>0</v>
      </c>
      <c r="ER21">
        <f t="shared" si="34"/>
        <v>0</v>
      </c>
    </row>
    <row r="22" spans="1:148" x14ac:dyDescent="0.25">
      <c r="A22" t="s">
        <v>303</v>
      </c>
      <c r="B22" t="s">
        <v>408</v>
      </c>
      <c r="C22">
        <v>6</v>
      </c>
      <c r="D22">
        <f t="shared" si="1"/>
        <v>0.75</v>
      </c>
      <c r="G22" t="s">
        <v>303</v>
      </c>
      <c r="H22" t="s">
        <v>81</v>
      </c>
      <c r="I22">
        <v>14</v>
      </c>
      <c r="J22">
        <f t="shared" si="2"/>
        <v>1.4814814814814816</v>
      </c>
      <c r="M22" t="s">
        <v>303</v>
      </c>
      <c r="N22" s="11" t="s">
        <v>193</v>
      </c>
      <c r="O22">
        <v>5</v>
      </c>
      <c r="P22">
        <f t="shared" si="3"/>
        <v>1.1961722488038278</v>
      </c>
      <c r="R22">
        <v>3</v>
      </c>
      <c r="S22">
        <f t="shared" si="4"/>
        <v>1.214574898785425</v>
      </c>
      <c r="U22">
        <v>3</v>
      </c>
      <c r="V22">
        <f t="shared" si="0"/>
        <v>1.079136690647482</v>
      </c>
      <c r="X22">
        <v>0</v>
      </c>
      <c r="Y22">
        <f t="shared" si="5"/>
        <v>0</v>
      </c>
      <c r="AC22" t="s">
        <v>303</v>
      </c>
      <c r="AD22" s="1" t="s">
        <v>5</v>
      </c>
      <c r="AE22">
        <v>4</v>
      </c>
      <c r="AF22">
        <f t="shared" si="6"/>
        <v>1.3651877133105803</v>
      </c>
      <c r="AH22">
        <v>0</v>
      </c>
      <c r="AI22">
        <f t="shared" si="7"/>
        <v>0</v>
      </c>
      <c r="AK22">
        <v>0</v>
      </c>
      <c r="AL22">
        <f t="shared" si="8"/>
        <v>0</v>
      </c>
      <c r="AN22">
        <v>0</v>
      </c>
      <c r="AO22">
        <f t="shared" si="9"/>
        <v>0</v>
      </c>
      <c r="AS22" t="s">
        <v>303</v>
      </c>
      <c r="AT22" s="25" t="s">
        <v>589</v>
      </c>
      <c r="AU22">
        <v>8</v>
      </c>
      <c r="AV22" s="4">
        <f t="shared" si="10"/>
        <v>3.669724770642202</v>
      </c>
      <c r="AX22">
        <v>4</v>
      </c>
      <c r="AY22">
        <f t="shared" si="11"/>
        <v>1.6528925619834711</v>
      </c>
      <c r="BA22">
        <v>4</v>
      </c>
      <c r="BB22">
        <f t="shared" si="12"/>
        <v>3.7037037037037033</v>
      </c>
      <c r="BD22">
        <v>3</v>
      </c>
      <c r="BE22">
        <f t="shared" si="13"/>
        <v>2.3809523809523809</v>
      </c>
      <c r="BI22" s="9" t="s">
        <v>303</v>
      </c>
      <c r="BJ22" s="27" t="s">
        <v>358</v>
      </c>
      <c r="BK22" s="9">
        <v>0</v>
      </c>
      <c r="BL22" s="9">
        <f t="shared" si="14"/>
        <v>0</v>
      </c>
      <c r="BM22" s="9"/>
      <c r="BN22" s="9">
        <v>1</v>
      </c>
      <c r="BO22" s="9">
        <f t="shared" si="15"/>
        <v>3.5050823694356817E-2</v>
      </c>
      <c r="BP22" s="9"/>
      <c r="BQ22" s="9">
        <v>0</v>
      </c>
      <c r="BR22">
        <f t="shared" si="16"/>
        <v>0</v>
      </c>
      <c r="BV22" t="s">
        <v>303</v>
      </c>
      <c r="BW22" s="1" t="s">
        <v>30</v>
      </c>
      <c r="BX22">
        <v>1</v>
      </c>
      <c r="BY22">
        <f t="shared" si="17"/>
        <v>0.21739130434782608</v>
      </c>
      <c r="CA22">
        <v>0</v>
      </c>
      <c r="CB22">
        <f t="shared" si="18"/>
        <v>0</v>
      </c>
      <c r="CD22">
        <v>0</v>
      </c>
      <c r="CE22">
        <f t="shared" si="19"/>
        <v>0</v>
      </c>
      <c r="CI22" t="s">
        <v>303</v>
      </c>
      <c r="CJ22" s="1" t="s">
        <v>243</v>
      </c>
      <c r="CK22">
        <v>0</v>
      </c>
      <c r="CL22">
        <f t="shared" si="20"/>
        <v>0</v>
      </c>
      <c r="CN22">
        <v>2</v>
      </c>
      <c r="CO22">
        <f t="shared" si="21"/>
        <v>0.76045627376425851</v>
      </c>
      <c r="CQ22">
        <v>5</v>
      </c>
      <c r="CR22">
        <f t="shared" si="22"/>
        <v>1.7361111111111112</v>
      </c>
      <c r="CV22" t="s">
        <v>303</v>
      </c>
      <c r="CW22" s="1" t="s">
        <v>29</v>
      </c>
      <c r="CX22">
        <v>2</v>
      </c>
      <c r="CY22">
        <f t="shared" si="23"/>
        <v>0.516795865633075</v>
      </c>
      <c r="DC22" t="s">
        <v>303</v>
      </c>
      <c r="DD22" s="2" t="s">
        <v>74</v>
      </c>
      <c r="DE22">
        <v>5</v>
      </c>
      <c r="DF22">
        <f t="shared" si="24"/>
        <v>1.1312217194570136</v>
      </c>
      <c r="DH22">
        <v>10</v>
      </c>
      <c r="DI22">
        <f t="shared" si="25"/>
        <v>2.5974025974025974</v>
      </c>
      <c r="DK22">
        <v>0</v>
      </c>
      <c r="DL22">
        <f t="shared" si="26"/>
        <v>0</v>
      </c>
      <c r="DP22" t="s">
        <v>303</v>
      </c>
      <c r="DQ22" s="1" t="s">
        <v>414</v>
      </c>
      <c r="DR22">
        <v>1</v>
      </c>
      <c r="DS22">
        <f t="shared" si="27"/>
        <v>0.31847133757961787</v>
      </c>
      <c r="DU22">
        <v>0</v>
      </c>
      <c r="DV22">
        <f t="shared" si="28"/>
        <v>0</v>
      </c>
      <c r="DX22">
        <v>0</v>
      </c>
      <c r="DY22">
        <f t="shared" si="29"/>
        <v>0</v>
      </c>
      <c r="EA22">
        <v>1</v>
      </c>
      <c r="EB22">
        <f t="shared" si="30"/>
        <v>2.9603315571343988E-2</v>
      </c>
      <c r="EF22" t="s">
        <v>303</v>
      </c>
      <c r="EG22" s="1" t="s">
        <v>274</v>
      </c>
      <c r="EH22">
        <v>2</v>
      </c>
      <c r="EI22">
        <f t="shared" si="31"/>
        <v>9.2250922509225092E-2</v>
      </c>
      <c r="EK22">
        <v>8</v>
      </c>
      <c r="EL22">
        <f t="shared" si="32"/>
        <v>1.5625</v>
      </c>
      <c r="EN22">
        <v>5</v>
      </c>
      <c r="EO22">
        <f t="shared" si="33"/>
        <v>0.18308311973636032</v>
      </c>
      <c r="EQ22">
        <v>12</v>
      </c>
      <c r="ER22">
        <f t="shared" si="34"/>
        <v>5.0632911392405067</v>
      </c>
    </row>
    <row r="23" spans="1:148" x14ac:dyDescent="0.25">
      <c r="A23" t="s">
        <v>303</v>
      </c>
      <c r="B23" t="s">
        <v>103</v>
      </c>
      <c r="C23">
        <v>29</v>
      </c>
      <c r="D23">
        <f t="shared" si="1"/>
        <v>3.6249999999999996</v>
      </c>
      <c r="G23" t="s">
        <v>303</v>
      </c>
      <c r="H23" s="1" t="s">
        <v>417</v>
      </c>
      <c r="I23">
        <v>7</v>
      </c>
      <c r="J23">
        <f t="shared" si="2"/>
        <v>0.74074074074074081</v>
      </c>
      <c r="M23" t="s">
        <v>303</v>
      </c>
      <c r="N23" s="11" t="s">
        <v>195</v>
      </c>
      <c r="O23">
        <v>2</v>
      </c>
      <c r="P23">
        <f t="shared" si="3"/>
        <v>0.4784688995215311</v>
      </c>
      <c r="R23">
        <v>0</v>
      </c>
      <c r="S23">
        <f t="shared" si="4"/>
        <v>0</v>
      </c>
      <c r="U23">
        <v>0</v>
      </c>
      <c r="V23">
        <f t="shared" si="0"/>
        <v>0</v>
      </c>
      <c r="X23">
        <v>0</v>
      </c>
      <c r="Y23">
        <f t="shared" si="5"/>
        <v>0</v>
      </c>
      <c r="AC23" t="s">
        <v>303</v>
      </c>
      <c r="AD23" s="1" t="s">
        <v>29</v>
      </c>
      <c r="AE23">
        <v>6</v>
      </c>
      <c r="AF23">
        <f t="shared" si="6"/>
        <v>2.0477815699658701</v>
      </c>
      <c r="AH23">
        <v>2</v>
      </c>
      <c r="AI23">
        <f t="shared" si="7"/>
        <v>1.1428571428571428</v>
      </c>
      <c r="AK23">
        <v>4</v>
      </c>
      <c r="AL23">
        <f t="shared" si="8"/>
        <v>1.9417475728155338</v>
      </c>
      <c r="AN23">
        <v>1</v>
      </c>
      <c r="AO23">
        <f t="shared" si="9"/>
        <v>0.63694267515923575</v>
      </c>
      <c r="AS23" t="s">
        <v>303</v>
      </c>
      <c r="AT23" s="25" t="s">
        <v>590</v>
      </c>
      <c r="AU23">
        <v>13</v>
      </c>
      <c r="AV23" s="4">
        <f t="shared" si="10"/>
        <v>5.9633027522935782</v>
      </c>
      <c r="AX23">
        <v>24</v>
      </c>
      <c r="AY23">
        <f t="shared" si="11"/>
        <v>9.9173553719008272</v>
      </c>
      <c r="BA23">
        <v>8</v>
      </c>
      <c r="BB23">
        <f t="shared" si="12"/>
        <v>7.4074074074074066</v>
      </c>
      <c r="BD23">
        <v>30</v>
      </c>
      <c r="BE23">
        <f t="shared" si="13"/>
        <v>23.809523809523807</v>
      </c>
      <c r="BI23" s="9" t="s">
        <v>303</v>
      </c>
      <c r="BJ23" s="26" t="s">
        <v>414</v>
      </c>
      <c r="BK23" s="9">
        <v>2</v>
      </c>
      <c r="BL23" s="9">
        <f t="shared" si="14"/>
        <v>8.8888888888888892E-2</v>
      </c>
      <c r="BM23" s="9"/>
      <c r="BN23" s="9">
        <v>0</v>
      </c>
      <c r="BO23" s="9">
        <f t="shared" si="15"/>
        <v>0</v>
      </c>
      <c r="BP23" s="9"/>
      <c r="BQ23" s="9">
        <v>0</v>
      </c>
      <c r="BR23">
        <f t="shared" si="16"/>
        <v>0</v>
      </c>
      <c r="BV23" t="s">
        <v>303</v>
      </c>
      <c r="BW23" s="1" t="s">
        <v>28</v>
      </c>
      <c r="BX23">
        <v>0</v>
      </c>
      <c r="BY23">
        <f t="shared" si="17"/>
        <v>0</v>
      </c>
      <c r="CA23">
        <v>0</v>
      </c>
      <c r="CB23">
        <f t="shared" si="18"/>
        <v>0</v>
      </c>
      <c r="CD23">
        <v>1</v>
      </c>
      <c r="CE23">
        <f t="shared" si="19"/>
        <v>0.37313432835820892</v>
      </c>
      <c r="CI23" t="s">
        <v>303</v>
      </c>
      <c r="CJ23" s="1" t="s">
        <v>414</v>
      </c>
      <c r="CK23">
        <v>0</v>
      </c>
      <c r="CL23">
        <f t="shared" si="20"/>
        <v>0</v>
      </c>
      <c r="CO23">
        <f t="shared" si="21"/>
        <v>0</v>
      </c>
      <c r="CQ23">
        <v>1</v>
      </c>
      <c r="CR23">
        <f t="shared" si="22"/>
        <v>0.34722222222222221</v>
      </c>
      <c r="CV23" t="s">
        <v>303</v>
      </c>
      <c r="CW23" s="1" t="s">
        <v>484</v>
      </c>
      <c r="CX23">
        <v>3</v>
      </c>
      <c r="CY23">
        <f t="shared" si="23"/>
        <v>0.77519379844961245</v>
      </c>
      <c r="DC23" t="s">
        <v>303</v>
      </c>
      <c r="DD23" s="1" t="s">
        <v>10</v>
      </c>
      <c r="DE23">
        <v>1</v>
      </c>
      <c r="DF23">
        <f t="shared" si="24"/>
        <v>0.22624434389140274</v>
      </c>
      <c r="DH23">
        <v>2</v>
      </c>
      <c r="DI23">
        <f t="shared" si="25"/>
        <v>0.51948051948051943</v>
      </c>
      <c r="DK23">
        <v>1</v>
      </c>
      <c r="DL23">
        <f t="shared" si="26"/>
        <v>0.27322404371584702</v>
      </c>
      <c r="DP23" t="s">
        <v>303</v>
      </c>
      <c r="DQ23" s="1" t="s">
        <v>28</v>
      </c>
      <c r="DR23">
        <v>9</v>
      </c>
      <c r="DS23">
        <f t="shared" si="27"/>
        <v>2.8662420382165608</v>
      </c>
      <c r="DU23">
        <v>17</v>
      </c>
      <c r="DV23">
        <f t="shared" si="28"/>
        <v>5.1987767584097861</v>
      </c>
      <c r="DX23">
        <v>1</v>
      </c>
      <c r="DY23">
        <f t="shared" si="29"/>
        <v>2.5207965717166627E-2</v>
      </c>
      <c r="EA23">
        <v>1</v>
      </c>
      <c r="EB23">
        <f t="shared" si="30"/>
        <v>2.9603315571343988E-2</v>
      </c>
      <c r="EF23" t="s">
        <v>303</v>
      </c>
      <c r="EG23" s="1" t="s">
        <v>414</v>
      </c>
      <c r="EH23">
        <v>1</v>
      </c>
      <c r="EI23">
        <f t="shared" si="31"/>
        <v>4.6125461254612546E-2</v>
      </c>
      <c r="EK23">
        <v>3</v>
      </c>
      <c r="EL23">
        <f t="shared" si="32"/>
        <v>0.5859375</v>
      </c>
      <c r="EN23">
        <v>2</v>
      </c>
      <c r="EO23">
        <f t="shared" si="33"/>
        <v>7.3233247894544135E-2</v>
      </c>
      <c r="EQ23">
        <v>3</v>
      </c>
      <c r="ER23">
        <f t="shared" si="34"/>
        <v>1.2658227848101267</v>
      </c>
    </row>
    <row r="24" spans="1:148" x14ac:dyDescent="0.25">
      <c r="A24" t="s">
        <v>303</v>
      </c>
      <c r="B24" s="1" t="s">
        <v>409</v>
      </c>
      <c r="C24">
        <v>1</v>
      </c>
      <c r="D24">
        <f t="shared" si="1"/>
        <v>0.125</v>
      </c>
      <c r="G24" t="s">
        <v>303</v>
      </c>
      <c r="H24" t="s">
        <v>82</v>
      </c>
      <c r="I24">
        <v>4</v>
      </c>
      <c r="J24">
        <f t="shared" si="2"/>
        <v>0.42328042328042331</v>
      </c>
      <c r="M24" t="s">
        <v>303</v>
      </c>
      <c r="N24" s="11" t="s">
        <v>28</v>
      </c>
      <c r="O24">
        <v>1</v>
      </c>
      <c r="P24">
        <f t="shared" si="3"/>
        <v>0.23923444976076555</v>
      </c>
      <c r="R24">
        <v>0</v>
      </c>
      <c r="S24">
        <f t="shared" si="4"/>
        <v>0</v>
      </c>
      <c r="U24">
        <v>40</v>
      </c>
      <c r="V24">
        <f t="shared" si="0"/>
        <v>14.388489208633093</v>
      </c>
      <c r="X24">
        <v>0</v>
      </c>
      <c r="Y24">
        <f t="shared" si="5"/>
        <v>0</v>
      </c>
      <c r="AC24" t="s">
        <v>303</v>
      </c>
      <c r="AD24" t="s">
        <v>7</v>
      </c>
      <c r="AE24">
        <v>32</v>
      </c>
      <c r="AF24">
        <f t="shared" si="6"/>
        <v>10.921501706484642</v>
      </c>
      <c r="AH24">
        <v>20</v>
      </c>
      <c r="AI24">
        <f t="shared" si="7"/>
        <v>11.428571428571429</v>
      </c>
      <c r="AK24">
        <v>33</v>
      </c>
      <c r="AL24">
        <f t="shared" si="8"/>
        <v>16.019417475728158</v>
      </c>
      <c r="AN24">
        <v>45</v>
      </c>
      <c r="AO24">
        <f t="shared" si="9"/>
        <v>28.662420382165603</v>
      </c>
      <c r="AS24" t="s">
        <v>303</v>
      </c>
      <c r="AT24" s="25" t="s">
        <v>592</v>
      </c>
      <c r="AU24">
        <v>4</v>
      </c>
      <c r="AV24" s="4">
        <f t="shared" si="10"/>
        <v>1.834862385321101</v>
      </c>
      <c r="AX24">
        <v>9</v>
      </c>
      <c r="AY24">
        <f t="shared" si="11"/>
        <v>3.71900826446281</v>
      </c>
      <c r="BA24">
        <v>3</v>
      </c>
      <c r="BB24">
        <f t="shared" si="12"/>
        <v>2.7777777777777777</v>
      </c>
      <c r="BD24">
        <v>3</v>
      </c>
      <c r="BE24">
        <f t="shared" si="13"/>
        <v>2.3809523809523809</v>
      </c>
      <c r="BI24" s="9" t="s">
        <v>303</v>
      </c>
      <c r="BJ24" s="26" t="s">
        <v>29</v>
      </c>
      <c r="BK24" s="9">
        <v>1</v>
      </c>
      <c r="BL24" s="9">
        <f t="shared" si="14"/>
        <v>4.4444444444444446E-2</v>
      </c>
      <c r="BM24" s="9"/>
      <c r="BN24" s="9">
        <v>0</v>
      </c>
      <c r="BO24" s="9">
        <f t="shared" si="15"/>
        <v>0</v>
      </c>
      <c r="BP24" s="9"/>
      <c r="BQ24" s="9">
        <v>2</v>
      </c>
      <c r="BR24">
        <f t="shared" si="16"/>
        <v>0.05</v>
      </c>
      <c r="BV24" t="s">
        <v>303</v>
      </c>
      <c r="BW24" s="1" t="s">
        <v>29</v>
      </c>
      <c r="BX24">
        <v>0</v>
      </c>
      <c r="BY24">
        <f t="shared" si="17"/>
        <v>0</v>
      </c>
      <c r="CA24">
        <v>0</v>
      </c>
      <c r="CB24">
        <f t="shared" si="18"/>
        <v>0</v>
      </c>
      <c r="CD24">
        <v>1</v>
      </c>
      <c r="CE24">
        <f t="shared" si="19"/>
        <v>0.37313432835820892</v>
      </c>
      <c r="CI24" t="s">
        <v>303</v>
      </c>
      <c r="CJ24" s="1" t="s">
        <v>28</v>
      </c>
      <c r="CK24">
        <v>1</v>
      </c>
      <c r="CL24">
        <f t="shared" si="20"/>
        <v>0.52356020942408377</v>
      </c>
      <c r="CN24">
        <v>0</v>
      </c>
      <c r="CO24">
        <f t="shared" si="21"/>
        <v>0</v>
      </c>
      <c r="CQ24">
        <v>13</v>
      </c>
      <c r="CR24">
        <f t="shared" si="22"/>
        <v>4.5138888888888884</v>
      </c>
      <c r="CV24" t="s">
        <v>303</v>
      </c>
      <c r="CW24" s="1" t="s">
        <v>506</v>
      </c>
      <c r="CX24">
        <v>3</v>
      </c>
      <c r="CY24">
        <f t="shared" si="23"/>
        <v>0.77519379844961245</v>
      </c>
      <c r="DC24" t="s">
        <v>303</v>
      </c>
      <c r="DD24" s="1" t="s">
        <v>29</v>
      </c>
      <c r="DE24">
        <v>2</v>
      </c>
      <c r="DF24">
        <f t="shared" si="24"/>
        <v>0.45248868778280549</v>
      </c>
      <c r="DH24">
        <v>1</v>
      </c>
      <c r="DI24">
        <f t="shared" si="25"/>
        <v>0.25974025974025972</v>
      </c>
      <c r="DK24">
        <v>1</v>
      </c>
      <c r="DL24">
        <f t="shared" si="26"/>
        <v>0.27322404371584702</v>
      </c>
      <c r="DP24" t="s">
        <v>303</v>
      </c>
      <c r="DQ24" s="1" t="s">
        <v>10</v>
      </c>
      <c r="DR24">
        <v>7</v>
      </c>
      <c r="DS24">
        <f t="shared" si="27"/>
        <v>2.2292993630573248</v>
      </c>
      <c r="DU24">
        <v>10</v>
      </c>
      <c r="DV24">
        <f t="shared" si="28"/>
        <v>3.0581039755351682</v>
      </c>
      <c r="DX24">
        <v>1</v>
      </c>
      <c r="DY24">
        <f t="shared" si="29"/>
        <v>2.5207965717166627E-2</v>
      </c>
      <c r="EA24">
        <v>2</v>
      </c>
      <c r="EB24">
        <f t="shared" si="30"/>
        <v>5.9206631142687975E-2</v>
      </c>
      <c r="EF24" t="s">
        <v>303</v>
      </c>
      <c r="EG24" s="1" t="s">
        <v>28</v>
      </c>
      <c r="EH24">
        <v>13</v>
      </c>
      <c r="EI24">
        <f t="shared" si="31"/>
        <v>0.59963099630996308</v>
      </c>
      <c r="EK24">
        <v>12</v>
      </c>
      <c r="EL24">
        <f t="shared" si="32"/>
        <v>2.34375</v>
      </c>
      <c r="EN24">
        <v>2</v>
      </c>
      <c r="EO24">
        <f t="shared" si="33"/>
        <v>7.3233247894544135E-2</v>
      </c>
      <c r="EQ24">
        <v>4</v>
      </c>
      <c r="ER24">
        <f t="shared" si="34"/>
        <v>1.6877637130801686</v>
      </c>
    </row>
    <row r="25" spans="1:148" x14ac:dyDescent="0.25">
      <c r="A25" t="s">
        <v>303</v>
      </c>
      <c r="B25" s="1" t="s">
        <v>88</v>
      </c>
      <c r="C25">
        <v>2</v>
      </c>
      <c r="D25">
        <f t="shared" si="1"/>
        <v>0.25</v>
      </c>
      <c r="G25" t="s">
        <v>303</v>
      </c>
      <c r="H25" s="1" t="s">
        <v>414</v>
      </c>
      <c r="I25">
        <v>3</v>
      </c>
      <c r="J25">
        <f t="shared" si="2"/>
        <v>0.31746031746031744</v>
      </c>
      <c r="M25" t="s">
        <v>303</v>
      </c>
      <c r="N25" s="10" t="s">
        <v>7</v>
      </c>
      <c r="O25">
        <v>50</v>
      </c>
      <c r="P25">
        <f t="shared" si="3"/>
        <v>11.961722488038278</v>
      </c>
      <c r="R25">
        <v>64</v>
      </c>
      <c r="S25">
        <f t="shared" si="4"/>
        <v>25.910931174089068</v>
      </c>
      <c r="U25">
        <v>27</v>
      </c>
      <c r="V25">
        <f t="shared" si="0"/>
        <v>9.7122302158273381</v>
      </c>
      <c r="X25">
        <v>33</v>
      </c>
      <c r="Y25">
        <f t="shared" si="5"/>
        <v>32.352941176470587</v>
      </c>
      <c r="AC25" t="s">
        <v>303</v>
      </c>
      <c r="AD25" s="1" t="s">
        <v>435</v>
      </c>
      <c r="AE25">
        <v>2</v>
      </c>
      <c r="AF25">
        <f t="shared" si="6"/>
        <v>0.68259385665529015</v>
      </c>
      <c r="AH25">
        <v>6</v>
      </c>
      <c r="AI25">
        <f t="shared" si="7"/>
        <v>3.4285714285714288</v>
      </c>
      <c r="AK25">
        <v>4</v>
      </c>
      <c r="AL25">
        <f t="shared" si="8"/>
        <v>1.9417475728155338</v>
      </c>
      <c r="AN25">
        <v>1</v>
      </c>
      <c r="AO25">
        <f t="shared" si="9"/>
        <v>0.63694267515923575</v>
      </c>
      <c r="AS25" t="s">
        <v>303</v>
      </c>
      <c r="AT25" s="25" t="s">
        <v>594</v>
      </c>
      <c r="AU25">
        <v>1</v>
      </c>
      <c r="AV25" s="4">
        <f t="shared" si="10"/>
        <v>0.45871559633027525</v>
      </c>
      <c r="AX25">
        <v>1</v>
      </c>
      <c r="AY25">
        <f t="shared" si="11"/>
        <v>0.41322314049586778</v>
      </c>
      <c r="BA25">
        <v>3</v>
      </c>
      <c r="BB25">
        <f t="shared" si="12"/>
        <v>2.7777777777777777</v>
      </c>
      <c r="BD25">
        <v>3</v>
      </c>
      <c r="BE25">
        <f t="shared" si="13"/>
        <v>2.3809523809523809</v>
      </c>
      <c r="BI25" s="9" t="s">
        <v>303</v>
      </c>
      <c r="BJ25" s="26" t="s">
        <v>463</v>
      </c>
      <c r="BK25" s="9">
        <v>0</v>
      </c>
      <c r="BL25" s="9">
        <f t="shared" si="14"/>
        <v>0</v>
      </c>
      <c r="BM25" s="9"/>
      <c r="BN25" s="9">
        <v>2</v>
      </c>
      <c r="BO25" s="9">
        <f t="shared" si="15"/>
        <v>7.0101647388713634E-2</v>
      </c>
      <c r="BP25" s="9"/>
      <c r="BQ25" s="9">
        <v>0</v>
      </c>
      <c r="BR25">
        <f t="shared" si="16"/>
        <v>0</v>
      </c>
      <c r="BV25" t="s">
        <v>303</v>
      </c>
      <c r="BW25" s="1" t="s">
        <v>463</v>
      </c>
      <c r="BX25">
        <v>5</v>
      </c>
      <c r="BY25">
        <f t="shared" si="17"/>
        <v>1.0869565217391304</v>
      </c>
      <c r="CA25">
        <v>0</v>
      </c>
      <c r="CB25">
        <f t="shared" si="18"/>
        <v>0</v>
      </c>
      <c r="CD25">
        <v>0</v>
      </c>
      <c r="CE25">
        <f t="shared" si="19"/>
        <v>0</v>
      </c>
      <c r="CI25" t="s">
        <v>303</v>
      </c>
      <c r="CJ25" s="1" t="s">
        <v>10</v>
      </c>
      <c r="CK25">
        <v>3</v>
      </c>
      <c r="CL25">
        <f t="shared" si="20"/>
        <v>1.5706806282722512</v>
      </c>
      <c r="CN25">
        <v>0</v>
      </c>
      <c r="CO25">
        <f t="shared" si="21"/>
        <v>0</v>
      </c>
      <c r="CQ25">
        <v>2</v>
      </c>
      <c r="CR25">
        <f t="shared" si="22"/>
        <v>0.69444444444444442</v>
      </c>
      <c r="CV25" t="s">
        <v>303</v>
      </c>
      <c r="CW25" s="1" t="s">
        <v>527</v>
      </c>
      <c r="CX25">
        <v>1</v>
      </c>
      <c r="CY25">
        <f t="shared" si="23"/>
        <v>0.2583979328165375</v>
      </c>
      <c r="DC25" t="s">
        <v>303</v>
      </c>
      <c r="DD25" s="1" t="s">
        <v>463</v>
      </c>
      <c r="DE25">
        <v>3</v>
      </c>
      <c r="DF25">
        <f t="shared" si="24"/>
        <v>0.67873303167420818</v>
      </c>
      <c r="DH25">
        <v>0</v>
      </c>
      <c r="DI25">
        <f t="shared" si="25"/>
        <v>0</v>
      </c>
      <c r="DK25">
        <v>0</v>
      </c>
      <c r="DL25">
        <f t="shared" si="26"/>
        <v>0</v>
      </c>
      <c r="DP25" t="s">
        <v>303</v>
      </c>
      <c r="DQ25" s="1" t="s">
        <v>29</v>
      </c>
      <c r="DR25">
        <v>2</v>
      </c>
      <c r="DS25">
        <f t="shared" si="27"/>
        <v>0.63694267515923575</v>
      </c>
      <c r="DU25">
        <v>5</v>
      </c>
      <c r="DV25">
        <f t="shared" si="28"/>
        <v>1.5290519877675841</v>
      </c>
      <c r="DX25">
        <v>0</v>
      </c>
      <c r="DY25">
        <f t="shared" si="29"/>
        <v>0</v>
      </c>
      <c r="EA25">
        <v>1</v>
      </c>
      <c r="EB25">
        <f t="shared" si="30"/>
        <v>2.9603315571343988E-2</v>
      </c>
      <c r="EF25" t="s">
        <v>303</v>
      </c>
      <c r="EG25" s="1" t="s">
        <v>517</v>
      </c>
      <c r="EH25">
        <v>4</v>
      </c>
      <c r="EI25">
        <f t="shared" si="31"/>
        <v>0.18450184501845018</v>
      </c>
      <c r="EK25">
        <v>6</v>
      </c>
      <c r="EL25">
        <f t="shared" si="32"/>
        <v>1.171875</v>
      </c>
      <c r="EN25">
        <v>0</v>
      </c>
      <c r="EO25">
        <f t="shared" si="33"/>
        <v>0</v>
      </c>
      <c r="EQ25">
        <v>0</v>
      </c>
      <c r="ER25">
        <f t="shared" si="34"/>
        <v>0</v>
      </c>
    </row>
    <row r="26" spans="1:148" x14ac:dyDescent="0.25">
      <c r="A26" t="s">
        <v>303</v>
      </c>
      <c r="B26" s="1" t="s">
        <v>410</v>
      </c>
      <c r="C26">
        <v>4</v>
      </c>
      <c r="D26">
        <f t="shared" si="1"/>
        <v>0.5</v>
      </c>
      <c r="G26" t="s">
        <v>303</v>
      </c>
      <c r="H26" s="1" t="s">
        <v>134</v>
      </c>
      <c r="I26">
        <v>14</v>
      </c>
      <c r="J26">
        <f t="shared" si="2"/>
        <v>1.4814814814814816</v>
      </c>
      <c r="M26" t="s">
        <v>303</v>
      </c>
      <c r="N26" s="1" t="s">
        <v>199</v>
      </c>
      <c r="O26">
        <v>2</v>
      </c>
      <c r="P26">
        <f t="shared" si="3"/>
        <v>0.4784688995215311</v>
      </c>
      <c r="R26">
        <v>0</v>
      </c>
      <c r="S26">
        <f t="shared" si="4"/>
        <v>0</v>
      </c>
      <c r="U26">
        <v>0</v>
      </c>
      <c r="V26">
        <f t="shared" si="0"/>
        <v>0</v>
      </c>
      <c r="X26">
        <v>0</v>
      </c>
      <c r="Y26">
        <f t="shared" si="5"/>
        <v>0</v>
      </c>
      <c r="AC26" t="s">
        <v>303</v>
      </c>
      <c r="AD26" s="1" t="s">
        <v>8</v>
      </c>
      <c r="AE26">
        <v>5</v>
      </c>
      <c r="AF26">
        <f t="shared" si="6"/>
        <v>1.7064846416382253</v>
      </c>
      <c r="AH26">
        <v>7</v>
      </c>
      <c r="AI26">
        <f t="shared" si="7"/>
        <v>4</v>
      </c>
      <c r="AK26">
        <v>6</v>
      </c>
      <c r="AL26">
        <f t="shared" si="8"/>
        <v>2.912621359223301</v>
      </c>
      <c r="AN26">
        <v>4</v>
      </c>
      <c r="AO26">
        <f t="shared" si="9"/>
        <v>2.547770700636943</v>
      </c>
      <c r="AS26" t="s">
        <v>303</v>
      </c>
      <c r="AT26" s="25" t="s">
        <v>595</v>
      </c>
      <c r="AU26">
        <v>1</v>
      </c>
      <c r="AV26" s="4">
        <f t="shared" si="10"/>
        <v>0.45871559633027525</v>
      </c>
      <c r="AX26">
        <v>0</v>
      </c>
      <c r="AY26">
        <f t="shared" si="11"/>
        <v>0</v>
      </c>
      <c r="BA26">
        <v>0</v>
      </c>
      <c r="BB26">
        <f t="shared" si="12"/>
        <v>0</v>
      </c>
      <c r="BD26">
        <v>0</v>
      </c>
      <c r="BE26">
        <f t="shared" si="13"/>
        <v>0</v>
      </c>
      <c r="BI26" s="9" t="s">
        <v>303</v>
      </c>
      <c r="BJ26" s="26" t="s">
        <v>467</v>
      </c>
      <c r="BK26" s="9">
        <v>0</v>
      </c>
      <c r="BL26" s="9">
        <f t="shared" si="14"/>
        <v>0</v>
      </c>
      <c r="BM26" s="9"/>
      <c r="BN26" s="9">
        <v>0</v>
      </c>
      <c r="BO26" s="9">
        <f t="shared" si="15"/>
        <v>0</v>
      </c>
      <c r="BP26" s="9"/>
      <c r="BQ26" s="9">
        <v>2</v>
      </c>
      <c r="BR26">
        <f t="shared" si="16"/>
        <v>0.05</v>
      </c>
      <c r="BV26" t="s">
        <v>303</v>
      </c>
      <c r="BW26" s="1" t="s">
        <v>170</v>
      </c>
      <c r="BX26">
        <v>2</v>
      </c>
      <c r="BY26">
        <f t="shared" si="17"/>
        <v>0.43478260869565216</v>
      </c>
      <c r="CA26">
        <v>5</v>
      </c>
      <c r="CB26">
        <f t="shared" si="18"/>
        <v>1.8315018315018317</v>
      </c>
      <c r="CD26">
        <v>0</v>
      </c>
      <c r="CE26">
        <f t="shared" si="19"/>
        <v>0</v>
      </c>
      <c r="CI26" t="s">
        <v>303</v>
      </c>
      <c r="CJ26" s="1" t="s">
        <v>29</v>
      </c>
      <c r="CK26">
        <v>0</v>
      </c>
      <c r="CL26">
        <f t="shared" si="20"/>
        <v>0</v>
      </c>
      <c r="CN26">
        <v>3</v>
      </c>
      <c r="CO26">
        <f t="shared" si="21"/>
        <v>1.1406844106463878</v>
      </c>
      <c r="CQ26">
        <v>2</v>
      </c>
      <c r="CR26">
        <f t="shared" si="22"/>
        <v>0.69444444444444442</v>
      </c>
      <c r="CV26" t="s">
        <v>303</v>
      </c>
      <c r="CW26" s="1" t="s">
        <v>290</v>
      </c>
      <c r="CX26">
        <v>3</v>
      </c>
      <c r="CY26">
        <f t="shared" si="23"/>
        <v>0.77519379844961245</v>
      </c>
      <c r="DC26" t="s">
        <v>303</v>
      </c>
      <c r="DD26" s="1" t="s">
        <v>147</v>
      </c>
      <c r="DE26">
        <v>3</v>
      </c>
      <c r="DF26">
        <f t="shared" si="24"/>
        <v>0.67873303167420818</v>
      </c>
      <c r="DH26">
        <v>0</v>
      </c>
      <c r="DI26">
        <f t="shared" si="25"/>
        <v>0</v>
      </c>
      <c r="DK26">
        <v>0</v>
      </c>
      <c r="DL26">
        <f t="shared" si="26"/>
        <v>0</v>
      </c>
      <c r="DP26" t="s">
        <v>303</v>
      </c>
      <c r="DQ26" s="1" t="s">
        <v>463</v>
      </c>
      <c r="DR26">
        <v>0</v>
      </c>
      <c r="DS26">
        <f t="shared" si="27"/>
        <v>0</v>
      </c>
      <c r="DU26">
        <v>3</v>
      </c>
      <c r="DV26">
        <f t="shared" si="28"/>
        <v>0.91743119266055051</v>
      </c>
      <c r="DX26">
        <v>0</v>
      </c>
      <c r="DY26">
        <f t="shared" si="29"/>
        <v>0</v>
      </c>
      <c r="EA26">
        <v>0</v>
      </c>
      <c r="EB26">
        <f t="shared" si="30"/>
        <v>0</v>
      </c>
      <c r="EF26" t="s">
        <v>303</v>
      </c>
      <c r="EG26" s="1" t="s">
        <v>530</v>
      </c>
      <c r="EH26">
        <v>1</v>
      </c>
      <c r="EI26">
        <f t="shared" si="31"/>
        <v>4.6125461254612546E-2</v>
      </c>
      <c r="EK26">
        <v>0</v>
      </c>
      <c r="EL26">
        <f t="shared" si="32"/>
        <v>0</v>
      </c>
      <c r="EN26">
        <v>1</v>
      </c>
      <c r="EO26">
        <f t="shared" si="33"/>
        <v>3.6616623947272067E-2</v>
      </c>
      <c r="EQ26">
        <v>1</v>
      </c>
      <c r="ER26">
        <f t="shared" si="34"/>
        <v>0.42194092827004215</v>
      </c>
    </row>
    <row r="27" spans="1:148" x14ac:dyDescent="0.25">
      <c r="A27" t="s">
        <v>303</v>
      </c>
      <c r="B27" t="s">
        <v>107</v>
      </c>
      <c r="C27">
        <v>6</v>
      </c>
      <c r="D27">
        <f t="shared" si="1"/>
        <v>0.75</v>
      </c>
      <c r="G27" t="s">
        <v>303</v>
      </c>
      <c r="H27" s="1" t="s">
        <v>418</v>
      </c>
      <c r="I27">
        <v>3</v>
      </c>
      <c r="J27">
        <f t="shared" si="2"/>
        <v>0.31746031746031744</v>
      </c>
      <c r="M27" t="s">
        <v>303</v>
      </c>
      <c r="N27" s="1" t="s">
        <v>9</v>
      </c>
      <c r="O27">
        <v>2</v>
      </c>
      <c r="P27">
        <f t="shared" si="3"/>
        <v>0.4784688995215311</v>
      </c>
      <c r="R27">
        <v>0</v>
      </c>
      <c r="S27">
        <f t="shared" si="4"/>
        <v>0</v>
      </c>
      <c r="U27">
        <v>0</v>
      </c>
      <c r="V27">
        <f t="shared" si="0"/>
        <v>0</v>
      </c>
      <c r="X27">
        <v>0</v>
      </c>
      <c r="Y27">
        <f t="shared" si="5"/>
        <v>0</v>
      </c>
      <c r="AC27" t="s">
        <v>303</v>
      </c>
      <c r="AD27" s="1" t="s">
        <v>23</v>
      </c>
      <c r="AE27">
        <v>6</v>
      </c>
      <c r="AF27">
        <f t="shared" si="6"/>
        <v>2.0477815699658701</v>
      </c>
      <c r="AH27">
        <v>1</v>
      </c>
      <c r="AI27">
        <f t="shared" si="7"/>
        <v>0.5714285714285714</v>
      </c>
      <c r="AK27">
        <v>3</v>
      </c>
      <c r="AL27">
        <f t="shared" si="8"/>
        <v>1.4563106796116505</v>
      </c>
      <c r="AN27">
        <v>0</v>
      </c>
      <c r="AO27">
        <f t="shared" si="9"/>
        <v>0</v>
      </c>
      <c r="AS27" t="s">
        <v>303</v>
      </c>
      <c r="AT27" s="25" t="s">
        <v>597</v>
      </c>
      <c r="AU27">
        <v>2</v>
      </c>
      <c r="AV27" s="4">
        <f t="shared" si="10"/>
        <v>0.91743119266055051</v>
      </c>
      <c r="AX27">
        <v>2</v>
      </c>
      <c r="AY27">
        <f t="shared" si="11"/>
        <v>0.82644628099173556</v>
      </c>
      <c r="BA27">
        <v>2</v>
      </c>
      <c r="BB27">
        <f t="shared" si="12"/>
        <v>1.8518518518518516</v>
      </c>
      <c r="BD27">
        <v>0</v>
      </c>
      <c r="BE27">
        <f t="shared" si="13"/>
        <v>0</v>
      </c>
      <c r="BI27" s="9" t="s">
        <v>303</v>
      </c>
      <c r="BJ27" s="26" t="s">
        <v>147</v>
      </c>
      <c r="BK27" s="9">
        <v>0</v>
      </c>
      <c r="BL27" s="9">
        <f t="shared" si="14"/>
        <v>0</v>
      </c>
      <c r="BM27" s="9"/>
      <c r="BN27" s="9">
        <v>0</v>
      </c>
      <c r="BO27" s="9">
        <f t="shared" si="15"/>
        <v>0</v>
      </c>
      <c r="BP27" s="9"/>
      <c r="BQ27" s="9">
        <v>1</v>
      </c>
      <c r="BR27">
        <f t="shared" si="16"/>
        <v>2.5000000000000001E-2</v>
      </c>
      <c r="BV27" t="s">
        <v>303</v>
      </c>
      <c r="BW27" s="1" t="s">
        <v>484</v>
      </c>
      <c r="BX27">
        <v>0</v>
      </c>
      <c r="BY27">
        <f t="shared" si="17"/>
        <v>0</v>
      </c>
      <c r="CA27">
        <v>2</v>
      </c>
      <c r="CB27">
        <f t="shared" si="18"/>
        <v>0.73260073260073255</v>
      </c>
      <c r="CD27">
        <v>0</v>
      </c>
      <c r="CE27">
        <f t="shared" si="19"/>
        <v>0</v>
      </c>
      <c r="CI27" t="s">
        <v>303</v>
      </c>
      <c r="CJ27" s="1" t="s">
        <v>463</v>
      </c>
      <c r="CK27">
        <v>0</v>
      </c>
      <c r="CL27">
        <f t="shared" si="20"/>
        <v>0</v>
      </c>
      <c r="CN27">
        <v>5</v>
      </c>
      <c r="CO27">
        <f t="shared" si="21"/>
        <v>1.9011406844106464</v>
      </c>
      <c r="CQ27">
        <v>1</v>
      </c>
      <c r="CR27">
        <f t="shared" si="22"/>
        <v>0.34722222222222221</v>
      </c>
      <c r="CV27" t="s">
        <v>303</v>
      </c>
      <c r="CW27" t="s">
        <v>546</v>
      </c>
      <c r="CX27">
        <v>4</v>
      </c>
      <c r="CY27">
        <f t="shared" si="23"/>
        <v>1.03359173126615</v>
      </c>
      <c r="DC27" t="s">
        <v>303</v>
      </c>
      <c r="DD27" t="s">
        <v>234</v>
      </c>
      <c r="DE27">
        <v>1</v>
      </c>
      <c r="DF27">
        <f t="shared" si="24"/>
        <v>0.22624434389140274</v>
      </c>
      <c r="DH27">
        <v>0</v>
      </c>
      <c r="DI27">
        <f t="shared" si="25"/>
        <v>0</v>
      </c>
      <c r="DK27">
        <v>0</v>
      </c>
      <c r="DL27">
        <f t="shared" si="26"/>
        <v>0</v>
      </c>
      <c r="DP27" t="s">
        <v>303</v>
      </c>
      <c r="DQ27" s="1" t="s">
        <v>506</v>
      </c>
      <c r="DR27">
        <v>2</v>
      </c>
      <c r="DS27">
        <f t="shared" si="27"/>
        <v>0.63694267515923575</v>
      </c>
      <c r="DU27">
        <v>1</v>
      </c>
      <c r="DV27">
        <f t="shared" si="28"/>
        <v>0.3058103975535168</v>
      </c>
      <c r="DX27">
        <v>3</v>
      </c>
      <c r="DY27">
        <f t="shared" si="29"/>
        <v>7.5623897151499878E-2</v>
      </c>
      <c r="EA27">
        <v>3</v>
      </c>
      <c r="EB27">
        <f t="shared" si="30"/>
        <v>8.8809946714031973E-2</v>
      </c>
      <c r="EF27" t="s">
        <v>303</v>
      </c>
      <c r="EG27" s="1" t="s">
        <v>463</v>
      </c>
      <c r="EH27">
        <v>0</v>
      </c>
      <c r="EI27">
        <f t="shared" si="31"/>
        <v>0</v>
      </c>
      <c r="EK27">
        <v>1</v>
      </c>
      <c r="EL27">
        <f t="shared" si="32"/>
        <v>0.1953125</v>
      </c>
      <c r="EN27">
        <v>1</v>
      </c>
      <c r="EO27">
        <f t="shared" si="33"/>
        <v>3.6616623947272067E-2</v>
      </c>
      <c r="EQ27">
        <v>0</v>
      </c>
      <c r="ER27">
        <f t="shared" si="34"/>
        <v>0</v>
      </c>
    </row>
    <row r="28" spans="1:148" ht="15.75" x14ac:dyDescent="0.25">
      <c r="A28" t="s">
        <v>315</v>
      </c>
      <c r="B28" s="6" t="s">
        <v>51</v>
      </c>
      <c r="C28">
        <v>12</v>
      </c>
      <c r="D28">
        <f t="shared" si="1"/>
        <v>1.5</v>
      </c>
      <c r="G28" t="s">
        <v>303</v>
      </c>
      <c r="H28" t="s">
        <v>85</v>
      </c>
      <c r="I28">
        <v>7</v>
      </c>
      <c r="J28">
        <f t="shared" si="2"/>
        <v>0.74074074074074081</v>
      </c>
      <c r="M28" t="s">
        <v>303</v>
      </c>
      <c r="N28" t="s">
        <v>105</v>
      </c>
      <c r="O28">
        <v>5</v>
      </c>
      <c r="P28">
        <f t="shared" si="3"/>
        <v>1.1961722488038278</v>
      </c>
      <c r="R28">
        <v>0</v>
      </c>
      <c r="S28">
        <f t="shared" si="4"/>
        <v>0</v>
      </c>
      <c r="U28">
        <v>0</v>
      </c>
      <c r="V28">
        <f t="shared" si="0"/>
        <v>0</v>
      </c>
      <c r="X28">
        <v>0</v>
      </c>
      <c r="Y28">
        <f t="shared" si="5"/>
        <v>0</v>
      </c>
      <c r="AC28" t="s">
        <v>303</v>
      </c>
      <c r="AD28" s="1" t="s">
        <v>147</v>
      </c>
      <c r="AE28">
        <v>14</v>
      </c>
      <c r="AF28">
        <f t="shared" si="6"/>
        <v>4.7781569965870307</v>
      </c>
      <c r="AH28">
        <v>4</v>
      </c>
      <c r="AI28">
        <f t="shared" si="7"/>
        <v>2.2857142857142856</v>
      </c>
      <c r="AK28">
        <v>10</v>
      </c>
      <c r="AL28">
        <f t="shared" si="8"/>
        <v>4.8543689320388346</v>
      </c>
      <c r="AN28">
        <v>0</v>
      </c>
      <c r="AO28">
        <f t="shared" si="9"/>
        <v>0</v>
      </c>
      <c r="AS28" t="s">
        <v>303</v>
      </c>
      <c r="AT28" s="25" t="s">
        <v>599</v>
      </c>
      <c r="AU28">
        <v>4</v>
      </c>
      <c r="AV28" s="4">
        <f t="shared" si="10"/>
        <v>1.834862385321101</v>
      </c>
      <c r="AX28">
        <v>1</v>
      </c>
      <c r="AY28">
        <f t="shared" si="11"/>
        <v>0.41322314049586778</v>
      </c>
      <c r="BA28">
        <v>2</v>
      </c>
      <c r="BB28">
        <f t="shared" si="12"/>
        <v>1.8518518518518516</v>
      </c>
      <c r="BD28">
        <v>3</v>
      </c>
      <c r="BE28">
        <f t="shared" si="13"/>
        <v>2.3809523809523809</v>
      </c>
      <c r="BI28" s="9" t="s">
        <v>303</v>
      </c>
      <c r="BJ28" s="26" t="s">
        <v>479</v>
      </c>
      <c r="BK28" s="9">
        <v>1</v>
      </c>
      <c r="BL28" s="9">
        <f t="shared" si="14"/>
        <v>4.4444444444444446E-2</v>
      </c>
      <c r="BM28" s="9"/>
      <c r="BN28" s="9">
        <v>0</v>
      </c>
      <c r="BO28" s="9">
        <f t="shared" si="15"/>
        <v>0</v>
      </c>
      <c r="BP28" s="9"/>
      <c r="BQ28" s="9">
        <v>25</v>
      </c>
      <c r="BR28">
        <f t="shared" si="16"/>
        <v>0.625</v>
      </c>
      <c r="BV28" t="s">
        <v>303</v>
      </c>
      <c r="BW28" t="s">
        <v>234</v>
      </c>
      <c r="BX28">
        <v>0</v>
      </c>
      <c r="BY28">
        <f t="shared" si="17"/>
        <v>0</v>
      </c>
      <c r="CA28">
        <v>1</v>
      </c>
      <c r="CB28">
        <f t="shared" si="18"/>
        <v>0.36630036630036628</v>
      </c>
      <c r="CD28">
        <v>1</v>
      </c>
      <c r="CE28">
        <f t="shared" si="19"/>
        <v>0.37313432835820892</v>
      </c>
      <c r="CI28" t="s">
        <v>303</v>
      </c>
      <c r="CJ28" s="1" t="s">
        <v>147</v>
      </c>
      <c r="CK28">
        <v>26</v>
      </c>
      <c r="CL28">
        <f t="shared" si="20"/>
        <v>13.612565445026178</v>
      </c>
      <c r="CN28">
        <v>10</v>
      </c>
      <c r="CO28">
        <f t="shared" si="21"/>
        <v>3.8022813688212929</v>
      </c>
      <c r="CQ28">
        <v>0</v>
      </c>
      <c r="CR28">
        <f t="shared" si="22"/>
        <v>0</v>
      </c>
      <c r="CV28" t="s">
        <v>303</v>
      </c>
      <c r="CW28" t="s">
        <v>547</v>
      </c>
      <c r="CX28">
        <v>3</v>
      </c>
      <c r="CY28">
        <f t="shared" si="23"/>
        <v>0.77519379844961245</v>
      </c>
      <c r="DC28" t="s">
        <v>303</v>
      </c>
      <c r="DD28" s="1" t="s">
        <v>40</v>
      </c>
      <c r="DE28">
        <v>0</v>
      </c>
      <c r="DF28">
        <f t="shared" si="24"/>
        <v>0</v>
      </c>
      <c r="DH28">
        <v>1</v>
      </c>
      <c r="DI28">
        <f t="shared" si="25"/>
        <v>0.25974025974025972</v>
      </c>
      <c r="DK28">
        <v>0</v>
      </c>
      <c r="DL28">
        <f t="shared" si="26"/>
        <v>0</v>
      </c>
      <c r="DP28" t="s">
        <v>303</v>
      </c>
      <c r="DQ28" t="s">
        <v>234</v>
      </c>
      <c r="DR28">
        <v>0</v>
      </c>
      <c r="DS28">
        <f t="shared" si="27"/>
        <v>0</v>
      </c>
      <c r="DU28">
        <v>0</v>
      </c>
      <c r="DV28">
        <f t="shared" si="28"/>
        <v>0</v>
      </c>
      <c r="DX28">
        <v>0</v>
      </c>
      <c r="DY28">
        <f t="shared" si="29"/>
        <v>0</v>
      </c>
      <c r="EA28">
        <v>2</v>
      </c>
      <c r="EB28">
        <f t="shared" si="30"/>
        <v>5.9206631142687975E-2</v>
      </c>
      <c r="EF28" t="s">
        <v>303</v>
      </c>
      <c r="EG28" s="1" t="s">
        <v>529</v>
      </c>
      <c r="EH28">
        <v>0</v>
      </c>
      <c r="EI28">
        <f t="shared" si="31"/>
        <v>0</v>
      </c>
      <c r="EK28">
        <v>0</v>
      </c>
      <c r="EL28">
        <f t="shared" si="32"/>
        <v>0</v>
      </c>
      <c r="EN28">
        <v>1</v>
      </c>
      <c r="EO28">
        <f t="shared" si="33"/>
        <v>3.6616623947272067E-2</v>
      </c>
      <c r="EQ28">
        <v>0</v>
      </c>
      <c r="ER28">
        <f t="shared" si="34"/>
        <v>0</v>
      </c>
    </row>
    <row r="29" spans="1:148" ht="15.75" x14ac:dyDescent="0.25">
      <c r="A29" t="s">
        <v>315</v>
      </c>
      <c r="B29" s="7" t="s">
        <v>353</v>
      </c>
      <c r="C29">
        <v>24</v>
      </c>
      <c r="D29">
        <f t="shared" si="1"/>
        <v>3</v>
      </c>
      <c r="G29" t="s">
        <v>303</v>
      </c>
      <c r="H29" t="s">
        <v>86</v>
      </c>
      <c r="I29">
        <v>8</v>
      </c>
      <c r="J29">
        <f t="shared" si="2"/>
        <v>0.84656084656084662</v>
      </c>
      <c r="M29" t="s">
        <v>303</v>
      </c>
      <c r="N29" s="1" t="s">
        <v>429</v>
      </c>
      <c r="O29">
        <v>1</v>
      </c>
      <c r="P29">
        <f t="shared" si="3"/>
        <v>0.23923444976076555</v>
      </c>
      <c r="R29">
        <v>0</v>
      </c>
      <c r="S29">
        <f t="shared" si="4"/>
        <v>0</v>
      </c>
      <c r="U29">
        <v>1</v>
      </c>
      <c r="V29">
        <f t="shared" si="0"/>
        <v>0.35971223021582738</v>
      </c>
      <c r="X29">
        <v>0</v>
      </c>
      <c r="Y29">
        <f t="shared" si="5"/>
        <v>0</v>
      </c>
      <c r="AC29" t="s">
        <v>303</v>
      </c>
      <c r="AD29" s="1" t="s">
        <v>414</v>
      </c>
      <c r="AE29">
        <v>3</v>
      </c>
      <c r="AF29">
        <f t="shared" si="6"/>
        <v>1.0238907849829351</v>
      </c>
      <c r="AH29">
        <v>3</v>
      </c>
      <c r="AI29">
        <f t="shared" si="7"/>
        <v>1.7142857142857144</v>
      </c>
      <c r="AK29">
        <v>12</v>
      </c>
      <c r="AL29">
        <f t="shared" si="8"/>
        <v>5.825242718446602</v>
      </c>
      <c r="AN29">
        <v>5</v>
      </c>
      <c r="AO29">
        <f t="shared" si="9"/>
        <v>3.1847133757961785</v>
      </c>
      <c r="AS29" t="s">
        <v>303</v>
      </c>
      <c r="AT29" s="25" t="s">
        <v>543</v>
      </c>
      <c r="AU29">
        <v>1</v>
      </c>
      <c r="AV29" s="4">
        <f t="shared" si="10"/>
        <v>0.45871559633027525</v>
      </c>
      <c r="AX29">
        <v>1</v>
      </c>
      <c r="AY29">
        <f t="shared" si="11"/>
        <v>0.41322314049586778</v>
      </c>
      <c r="BA29">
        <v>0</v>
      </c>
      <c r="BB29">
        <f t="shared" si="12"/>
        <v>0</v>
      </c>
      <c r="BD29">
        <v>0</v>
      </c>
      <c r="BE29">
        <f t="shared" si="13"/>
        <v>0</v>
      </c>
      <c r="BI29" s="9" t="s">
        <v>303</v>
      </c>
      <c r="BJ29" s="26" t="s">
        <v>88</v>
      </c>
      <c r="BK29" s="9">
        <v>3</v>
      </c>
      <c r="BL29" s="9">
        <f t="shared" si="14"/>
        <v>0.13333333333333333</v>
      </c>
      <c r="BM29" s="9"/>
      <c r="BN29" s="9">
        <v>0</v>
      </c>
      <c r="BO29" s="9">
        <f t="shared" si="15"/>
        <v>0</v>
      </c>
      <c r="BP29" s="9"/>
      <c r="BQ29" s="9">
        <v>1</v>
      </c>
      <c r="BR29">
        <f t="shared" si="16"/>
        <v>2.5000000000000001E-2</v>
      </c>
      <c r="BV29" t="s">
        <v>303</v>
      </c>
      <c r="BW29" s="1" t="s">
        <v>40</v>
      </c>
      <c r="BX29">
        <v>5</v>
      </c>
      <c r="BY29">
        <f t="shared" si="17"/>
        <v>1.0869565217391304</v>
      </c>
      <c r="CA29">
        <v>0</v>
      </c>
      <c r="CB29">
        <f t="shared" si="18"/>
        <v>0</v>
      </c>
      <c r="CD29">
        <v>0</v>
      </c>
      <c r="CE29">
        <f t="shared" si="19"/>
        <v>0</v>
      </c>
      <c r="CI29" t="s">
        <v>303</v>
      </c>
      <c r="CJ29" s="1" t="s">
        <v>465</v>
      </c>
      <c r="CK29">
        <v>0</v>
      </c>
      <c r="CL29">
        <f t="shared" si="20"/>
        <v>0</v>
      </c>
      <c r="CN29">
        <v>0</v>
      </c>
      <c r="CO29">
        <f t="shared" si="21"/>
        <v>0</v>
      </c>
      <c r="CQ29">
        <v>2</v>
      </c>
      <c r="CR29">
        <f t="shared" si="22"/>
        <v>0.69444444444444442</v>
      </c>
      <c r="CV29" t="s">
        <v>303</v>
      </c>
      <c r="CW29" t="s">
        <v>101</v>
      </c>
      <c r="CX29">
        <v>1</v>
      </c>
      <c r="CY29">
        <f t="shared" si="23"/>
        <v>0.2583979328165375</v>
      </c>
      <c r="DC29" t="s">
        <v>303</v>
      </c>
      <c r="DD29" s="1" t="s">
        <v>501</v>
      </c>
      <c r="DE29">
        <v>0</v>
      </c>
      <c r="DF29">
        <f t="shared" si="24"/>
        <v>0</v>
      </c>
      <c r="DH29">
        <v>0</v>
      </c>
      <c r="DI29">
        <f t="shared" si="25"/>
        <v>0</v>
      </c>
      <c r="DK29">
        <v>1</v>
      </c>
      <c r="DL29">
        <f t="shared" si="26"/>
        <v>0.27322404371584702</v>
      </c>
      <c r="DP29" t="s">
        <v>303</v>
      </c>
      <c r="DQ29" s="1" t="s">
        <v>40</v>
      </c>
      <c r="DR29">
        <v>0</v>
      </c>
      <c r="DS29">
        <f t="shared" si="27"/>
        <v>0</v>
      </c>
      <c r="DU29">
        <v>1</v>
      </c>
      <c r="DV29">
        <f t="shared" si="28"/>
        <v>0.3058103975535168</v>
      </c>
      <c r="DX29">
        <v>1</v>
      </c>
      <c r="DY29">
        <f t="shared" si="29"/>
        <v>2.5207965717166627E-2</v>
      </c>
      <c r="EA29">
        <v>1</v>
      </c>
      <c r="EB29">
        <f t="shared" si="30"/>
        <v>2.9603315571343988E-2</v>
      </c>
      <c r="EF29" t="s">
        <v>303</v>
      </c>
      <c r="EG29" t="s">
        <v>234</v>
      </c>
      <c r="EH29">
        <v>0</v>
      </c>
      <c r="EI29">
        <f t="shared" si="31"/>
        <v>0</v>
      </c>
      <c r="EK29">
        <v>0</v>
      </c>
      <c r="EL29">
        <f t="shared" si="32"/>
        <v>0</v>
      </c>
      <c r="EN29">
        <v>1</v>
      </c>
      <c r="EO29">
        <f t="shared" si="33"/>
        <v>3.6616623947272067E-2</v>
      </c>
      <c r="EQ29">
        <v>1</v>
      </c>
      <c r="ER29">
        <f t="shared" si="34"/>
        <v>0.42194092827004215</v>
      </c>
    </row>
    <row r="30" spans="1:148" x14ac:dyDescent="0.25">
      <c r="A30" t="s">
        <v>315</v>
      </c>
      <c r="B30" s="1" t="s">
        <v>179</v>
      </c>
      <c r="C30">
        <v>2</v>
      </c>
      <c r="D30">
        <f t="shared" si="1"/>
        <v>0.25</v>
      </c>
      <c r="G30" t="s">
        <v>303</v>
      </c>
      <c r="H30" s="1" t="s">
        <v>536</v>
      </c>
      <c r="I30">
        <v>1</v>
      </c>
      <c r="J30">
        <f t="shared" si="2"/>
        <v>0.10582010582010583</v>
      </c>
      <c r="M30" t="s">
        <v>303</v>
      </c>
      <c r="N30" t="s">
        <v>204</v>
      </c>
      <c r="O30">
        <v>6</v>
      </c>
      <c r="P30">
        <f t="shared" si="3"/>
        <v>1.4354066985645932</v>
      </c>
      <c r="R30">
        <v>1</v>
      </c>
      <c r="S30">
        <f t="shared" si="4"/>
        <v>0.40485829959514169</v>
      </c>
      <c r="U30">
        <v>10</v>
      </c>
      <c r="V30">
        <f t="shared" si="0"/>
        <v>3.5971223021582732</v>
      </c>
      <c r="X30">
        <v>15</v>
      </c>
      <c r="Y30">
        <f t="shared" si="5"/>
        <v>14.705882352941178</v>
      </c>
      <c r="AC30" t="s">
        <v>303</v>
      </c>
      <c r="AD30" s="1" t="s">
        <v>25</v>
      </c>
      <c r="AE30">
        <v>1</v>
      </c>
      <c r="AF30">
        <f t="shared" si="6"/>
        <v>0.34129692832764508</v>
      </c>
      <c r="AH30">
        <v>1</v>
      </c>
      <c r="AI30">
        <f t="shared" si="7"/>
        <v>0.5714285714285714</v>
      </c>
      <c r="AK30">
        <v>1</v>
      </c>
      <c r="AL30">
        <f t="shared" si="8"/>
        <v>0.48543689320388345</v>
      </c>
      <c r="AN30">
        <v>0</v>
      </c>
      <c r="AO30">
        <f t="shared" si="9"/>
        <v>0</v>
      </c>
      <c r="AS30" t="s">
        <v>303</v>
      </c>
      <c r="AT30" s="25" t="s">
        <v>601</v>
      </c>
      <c r="AU30">
        <v>6</v>
      </c>
      <c r="AV30" s="4">
        <f t="shared" si="10"/>
        <v>2.7522935779816518</v>
      </c>
      <c r="AX30">
        <v>8</v>
      </c>
      <c r="AY30">
        <f t="shared" si="11"/>
        <v>3.3057851239669422</v>
      </c>
      <c r="BA30">
        <v>1</v>
      </c>
      <c r="BB30">
        <f t="shared" si="12"/>
        <v>0.92592592592592582</v>
      </c>
      <c r="BD30">
        <v>0</v>
      </c>
      <c r="BE30">
        <f t="shared" si="13"/>
        <v>0</v>
      </c>
      <c r="BI30" s="9" t="s">
        <v>303</v>
      </c>
      <c r="BJ30" s="26" t="s">
        <v>31</v>
      </c>
      <c r="BK30" s="9">
        <v>5</v>
      </c>
      <c r="BL30" s="9">
        <f t="shared" si="14"/>
        <v>0.22222222222222221</v>
      </c>
      <c r="BM30" s="9"/>
      <c r="BN30" s="9">
        <v>0</v>
      </c>
      <c r="BO30" s="9">
        <f t="shared" si="15"/>
        <v>0</v>
      </c>
      <c r="BP30" s="9"/>
      <c r="BQ30" s="9">
        <v>0</v>
      </c>
      <c r="BR30">
        <f t="shared" si="16"/>
        <v>0</v>
      </c>
      <c r="BV30" t="s">
        <v>303</v>
      </c>
      <c r="BW30" s="1" t="s">
        <v>545</v>
      </c>
      <c r="BX30">
        <v>1</v>
      </c>
      <c r="BY30">
        <f t="shared" si="17"/>
        <v>0.21739130434782608</v>
      </c>
      <c r="CA30">
        <v>0</v>
      </c>
      <c r="CB30">
        <f t="shared" si="18"/>
        <v>0</v>
      </c>
      <c r="CD30">
        <v>0</v>
      </c>
      <c r="CE30">
        <f t="shared" si="19"/>
        <v>0</v>
      </c>
      <c r="CI30" t="s">
        <v>303</v>
      </c>
      <c r="CJ30" t="s">
        <v>234</v>
      </c>
      <c r="CK30">
        <v>1</v>
      </c>
      <c r="CL30">
        <f t="shared" si="20"/>
        <v>0.52356020942408377</v>
      </c>
      <c r="CN30">
        <v>0</v>
      </c>
      <c r="CO30">
        <f t="shared" si="21"/>
        <v>0</v>
      </c>
      <c r="CQ30">
        <v>1</v>
      </c>
      <c r="CR30">
        <f t="shared" si="22"/>
        <v>0.34722222222222221</v>
      </c>
      <c r="CV30" t="s">
        <v>315</v>
      </c>
      <c r="CW30" t="s">
        <v>16</v>
      </c>
      <c r="CX30">
        <v>12</v>
      </c>
      <c r="CY30">
        <f t="shared" si="23"/>
        <v>3.1007751937984498</v>
      </c>
      <c r="DC30" t="s">
        <v>303</v>
      </c>
      <c r="DD30" s="1" t="s">
        <v>289</v>
      </c>
      <c r="DE30">
        <v>1</v>
      </c>
      <c r="DF30">
        <f t="shared" si="24"/>
        <v>0.22624434389140274</v>
      </c>
      <c r="DH30">
        <v>0</v>
      </c>
      <c r="DI30">
        <f t="shared" si="25"/>
        <v>0</v>
      </c>
      <c r="DK30">
        <v>0</v>
      </c>
      <c r="DL30">
        <f t="shared" si="26"/>
        <v>0</v>
      </c>
      <c r="DP30" t="s">
        <v>303</v>
      </c>
      <c r="DQ30" s="1" t="s">
        <v>21</v>
      </c>
      <c r="DR30">
        <v>1</v>
      </c>
      <c r="DS30">
        <f t="shared" si="27"/>
        <v>0.31847133757961787</v>
      </c>
      <c r="DU30">
        <v>0</v>
      </c>
      <c r="DV30">
        <f t="shared" si="28"/>
        <v>0</v>
      </c>
      <c r="DX30">
        <v>0</v>
      </c>
      <c r="DY30">
        <f t="shared" si="29"/>
        <v>0</v>
      </c>
      <c r="EA30">
        <v>0</v>
      </c>
      <c r="EB30">
        <f t="shared" si="30"/>
        <v>0</v>
      </c>
      <c r="EF30" t="s">
        <v>303</v>
      </c>
      <c r="EG30" s="1" t="s">
        <v>527</v>
      </c>
      <c r="EH30">
        <v>1</v>
      </c>
      <c r="EI30">
        <f t="shared" si="31"/>
        <v>4.6125461254612546E-2</v>
      </c>
      <c r="EK30">
        <v>4</v>
      </c>
      <c r="EL30">
        <f t="shared" si="32"/>
        <v>0.78125</v>
      </c>
      <c r="EN30">
        <v>3</v>
      </c>
      <c r="EO30">
        <f t="shared" si="33"/>
        <v>0.10984987184181619</v>
      </c>
      <c r="EQ30">
        <v>1</v>
      </c>
      <c r="ER30">
        <f t="shared" si="34"/>
        <v>0.42194092827004215</v>
      </c>
    </row>
    <row r="31" spans="1:148" x14ac:dyDescent="0.25">
      <c r="A31" t="s">
        <v>315</v>
      </c>
      <c r="B31" s="1" t="s">
        <v>130</v>
      </c>
      <c r="C31">
        <v>3</v>
      </c>
      <c r="D31">
        <f t="shared" si="1"/>
        <v>0.375</v>
      </c>
      <c r="G31" t="s">
        <v>303</v>
      </c>
      <c r="H31" t="s">
        <v>87</v>
      </c>
      <c r="I31">
        <v>14</v>
      </c>
      <c r="J31">
        <f t="shared" si="2"/>
        <v>1.4814814814814816</v>
      </c>
      <c r="M31" t="s">
        <v>303</v>
      </c>
      <c r="N31" t="s">
        <v>205</v>
      </c>
      <c r="O31">
        <v>2</v>
      </c>
      <c r="P31">
        <f t="shared" si="3"/>
        <v>0.4784688995215311</v>
      </c>
      <c r="R31">
        <v>0</v>
      </c>
      <c r="S31">
        <f t="shared" si="4"/>
        <v>0</v>
      </c>
      <c r="U31">
        <v>0</v>
      </c>
      <c r="V31">
        <f t="shared" si="0"/>
        <v>0</v>
      </c>
      <c r="X31">
        <v>0</v>
      </c>
      <c r="Y31">
        <f t="shared" si="5"/>
        <v>0</v>
      </c>
      <c r="AC31" t="s">
        <v>303</v>
      </c>
      <c r="AD31" s="1" t="s">
        <v>9</v>
      </c>
      <c r="AE31">
        <v>1</v>
      </c>
      <c r="AF31">
        <f t="shared" si="6"/>
        <v>0.34129692832764508</v>
      </c>
      <c r="AH31">
        <v>0</v>
      </c>
      <c r="AI31">
        <f t="shared" si="7"/>
        <v>0</v>
      </c>
      <c r="AK31">
        <v>0</v>
      </c>
      <c r="AL31">
        <f t="shared" si="8"/>
        <v>0</v>
      </c>
      <c r="AN31">
        <v>0</v>
      </c>
      <c r="AO31">
        <f t="shared" si="9"/>
        <v>0</v>
      </c>
      <c r="AS31" t="s">
        <v>303</v>
      </c>
      <c r="AT31" s="25" t="s">
        <v>602</v>
      </c>
      <c r="AU31">
        <v>7</v>
      </c>
      <c r="AV31" s="4">
        <f t="shared" si="10"/>
        <v>3.2110091743119269</v>
      </c>
      <c r="AX31">
        <v>7</v>
      </c>
      <c r="AY31">
        <f t="shared" si="11"/>
        <v>2.8925619834710745</v>
      </c>
      <c r="BA31">
        <v>1</v>
      </c>
      <c r="BB31">
        <f t="shared" si="12"/>
        <v>0.92592592592592582</v>
      </c>
      <c r="BD31">
        <v>2</v>
      </c>
      <c r="BE31">
        <f t="shared" si="13"/>
        <v>1.5873015873015872</v>
      </c>
      <c r="BI31" s="9" t="s">
        <v>303</v>
      </c>
      <c r="BJ31" s="26" t="s">
        <v>32</v>
      </c>
      <c r="BK31" s="9">
        <v>1</v>
      </c>
      <c r="BL31" s="9">
        <f t="shared" si="14"/>
        <v>4.4444444444444446E-2</v>
      </c>
      <c r="BM31" s="9"/>
      <c r="BN31" s="9">
        <v>1</v>
      </c>
      <c r="BO31" s="9">
        <f t="shared" si="15"/>
        <v>3.5050823694356817E-2</v>
      </c>
      <c r="BP31" s="9"/>
      <c r="BQ31" s="9">
        <v>0</v>
      </c>
      <c r="BR31">
        <f t="shared" si="16"/>
        <v>0</v>
      </c>
      <c r="BV31" t="s">
        <v>303</v>
      </c>
      <c r="BW31" s="1" t="s">
        <v>488</v>
      </c>
      <c r="BX31">
        <v>0</v>
      </c>
      <c r="BY31">
        <f t="shared" si="17"/>
        <v>0</v>
      </c>
      <c r="CA31">
        <v>1</v>
      </c>
      <c r="CB31">
        <f t="shared" si="18"/>
        <v>0.36630036630036628</v>
      </c>
      <c r="CD31">
        <v>0</v>
      </c>
      <c r="CE31">
        <f t="shared" si="19"/>
        <v>0</v>
      </c>
      <c r="CI31" t="s">
        <v>303</v>
      </c>
      <c r="CJ31" s="1" t="s">
        <v>40</v>
      </c>
      <c r="CK31">
        <v>0</v>
      </c>
      <c r="CL31">
        <f t="shared" si="20"/>
        <v>0</v>
      </c>
      <c r="CN31">
        <v>10</v>
      </c>
      <c r="CO31">
        <f t="shared" si="21"/>
        <v>3.8022813688212929</v>
      </c>
      <c r="CQ31">
        <v>2</v>
      </c>
      <c r="CR31">
        <f t="shared" si="22"/>
        <v>0.69444444444444442</v>
      </c>
      <c r="CV31" t="s">
        <v>315</v>
      </c>
      <c r="CW31" s="1" t="s">
        <v>20</v>
      </c>
      <c r="CX31">
        <v>10</v>
      </c>
      <c r="CY31">
        <f t="shared" si="23"/>
        <v>2.5839793281653747</v>
      </c>
      <c r="DC31" t="s">
        <v>303</v>
      </c>
      <c r="DD31" s="1" t="s">
        <v>31</v>
      </c>
      <c r="DE31">
        <v>4</v>
      </c>
      <c r="DF31">
        <f t="shared" si="24"/>
        <v>0.90497737556561098</v>
      </c>
      <c r="DH31">
        <v>0</v>
      </c>
      <c r="DI31">
        <f t="shared" si="25"/>
        <v>0</v>
      </c>
      <c r="DK31">
        <v>0</v>
      </c>
      <c r="DL31">
        <f t="shared" si="26"/>
        <v>0</v>
      </c>
      <c r="DP31" t="s">
        <v>303</v>
      </c>
      <c r="DQ31" s="1" t="s">
        <v>440</v>
      </c>
      <c r="DR31">
        <v>0</v>
      </c>
      <c r="DS31">
        <f t="shared" si="27"/>
        <v>0</v>
      </c>
      <c r="DU31">
        <v>1</v>
      </c>
      <c r="DV31">
        <f t="shared" si="28"/>
        <v>0.3058103975535168</v>
      </c>
      <c r="DX31">
        <v>0</v>
      </c>
      <c r="DY31">
        <f t="shared" si="29"/>
        <v>0</v>
      </c>
      <c r="EA31">
        <v>0</v>
      </c>
      <c r="EB31">
        <f t="shared" si="30"/>
        <v>0</v>
      </c>
      <c r="EF31" t="s">
        <v>303</v>
      </c>
      <c r="EG31" s="1" t="s">
        <v>14</v>
      </c>
      <c r="EH31">
        <v>0</v>
      </c>
      <c r="EI31">
        <f t="shared" si="31"/>
        <v>0</v>
      </c>
      <c r="EK31">
        <v>0</v>
      </c>
      <c r="EL31">
        <f t="shared" si="32"/>
        <v>0</v>
      </c>
      <c r="EN31">
        <v>1</v>
      </c>
      <c r="EO31">
        <f t="shared" si="33"/>
        <v>3.6616623947272067E-2</v>
      </c>
      <c r="EQ31">
        <v>0</v>
      </c>
      <c r="ER31">
        <f t="shared" si="34"/>
        <v>0</v>
      </c>
    </row>
    <row r="32" spans="1:148" x14ac:dyDescent="0.25">
      <c r="A32" t="s">
        <v>319</v>
      </c>
      <c r="B32" s="1" t="s">
        <v>121</v>
      </c>
      <c r="C32">
        <v>17</v>
      </c>
      <c r="D32">
        <f t="shared" si="1"/>
        <v>2.125</v>
      </c>
      <c r="G32" t="s">
        <v>303</v>
      </c>
      <c r="H32" s="1" t="s">
        <v>440</v>
      </c>
      <c r="I32">
        <v>1</v>
      </c>
      <c r="J32">
        <f t="shared" si="2"/>
        <v>0.10582010582010583</v>
      </c>
      <c r="M32" t="s">
        <v>303</v>
      </c>
      <c r="N32" t="s">
        <v>427</v>
      </c>
      <c r="O32">
        <v>1</v>
      </c>
      <c r="P32">
        <f t="shared" si="3"/>
        <v>0.23923444976076555</v>
      </c>
      <c r="R32">
        <v>0</v>
      </c>
      <c r="S32">
        <f t="shared" si="4"/>
        <v>0</v>
      </c>
      <c r="U32">
        <v>0</v>
      </c>
      <c r="V32">
        <f t="shared" si="0"/>
        <v>0</v>
      </c>
      <c r="X32">
        <v>0</v>
      </c>
      <c r="Y32">
        <f t="shared" si="5"/>
        <v>0</v>
      </c>
      <c r="AC32" t="s">
        <v>303</v>
      </c>
      <c r="AD32" s="1" t="s">
        <v>10</v>
      </c>
      <c r="AE32">
        <v>3</v>
      </c>
      <c r="AF32">
        <f t="shared" si="6"/>
        <v>1.0238907849829351</v>
      </c>
      <c r="AH32">
        <v>2</v>
      </c>
      <c r="AI32">
        <f t="shared" si="7"/>
        <v>1.1428571428571428</v>
      </c>
      <c r="AK32">
        <v>5</v>
      </c>
      <c r="AL32">
        <f t="shared" si="8"/>
        <v>2.4271844660194173</v>
      </c>
      <c r="AN32">
        <v>4</v>
      </c>
      <c r="AO32">
        <f t="shared" si="9"/>
        <v>2.547770700636943</v>
      </c>
      <c r="AS32" t="s">
        <v>303</v>
      </c>
      <c r="AT32" s="25" t="s">
        <v>603</v>
      </c>
      <c r="AU32">
        <v>1</v>
      </c>
      <c r="AV32" s="4">
        <f t="shared" si="10"/>
        <v>0.45871559633027525</v>
      </c>
      <c r="AX32">
        <v>5</v>
      </c>
      <c r="AY32">
        <f t="shared" si="11"/>
        <v>2.0661157024793391</v>
      </c>
      <c r="BA32">
        <v>1</v>
      </c>
      <c r="BB32">
        <f t="shared" si="12"/>
        <v>0.92592592592592582</v>
      </c>
      <c r="BD32">
        <v>7</v>
      </c>
      <c r="BE32">
        <f t="shared" si="13"/>
        <v>5.5555555555555554</v>
      </c>
      <c r="BI32" s="9" t="s">
        <v>303</v>
      </c>
      <c r="BJ32" s="26" t="s">
        <v>68</v>
      </c>
      <c r="BK32" s="9">
        <v>0</v>
      </c>
      <c r="BL32" s="9">
        <f t="shared" si="14"/>
        <v>0</v>
      </c>
      <c r="BM32" s="9"/>
      <c r="BN32" s="9">
        <v>0</v>
      </c>
      <c r="BO32" s="9">
        <f t="shared" si="15"/>
        <v>0</v>
      </c>
      <c r="BP32" s="9"/>
      <c r="BQ32" s="9">
        <v>4</v>
      </c>
      <c r="BR32">
        <f t="shared" si="16"/>
        <v>0.1</v>
      </c>
      <c r="BV32" t="s">
        <v>303</v>
      </c>
      <c r="BW32" s="1" t="s">
        <v>21</v>
      </c>
      <c r="BX32">
        <v>0</v>
      </c>
      <c r="BY32">
        <f t="shared" si="17"/>
        <v>0</v>
      </c>
      <c r="CA32">
        <v>0</v>
      </c>
      <c r="CB32">
        <f t="shared" si="18"/>
        <v>0</v>
      </c>
      <c r="CD32">
        <v>3</v>
      </c>
      <c r="CE32">
        <f t="shared" si="19"/>
        <v>1.1194029850746268</v>
      </c>
      <c r="CI32" t="s">
        <v>303</v>
      </c>
      <c r="CJ32" s="1" t="s">
        <v>21</v>
      </c>
      <c r="CK32">
        <v>0</v>
      </c>
      <c r="CL32">
        <f t="shared" si="20"/>
        <v>0</v>
      </c>
      <c r="CN32">
        <v>0</v>
      </c>
      <c r="CO32">
        <f t="shared" si="21"/>
        <v>0</v>
      </c>
      <c r="CQ32">
        <v>2</v>
      </c>
      <c r="CR32">
        <f t="shared" si="22"/>
        <v>0.69444444444444442</v>
      </c>
      <c r="CV32" t="s">
        <v>315</v>
      </c>
      <c r="CW32" s="1" t="s">
        <v>476</v>
      </c>
      <c r="CX32">
        <v>8</v>
      </c>
      <c r="CY32">
        <f t="shared" si="23"/>
        <v>2.0671834625323</v>
      </c>
      <c r="DC32" t="s">
        <v>303</v>
      </c>
      <c r="DD32" s="1" t="s">
        <v>495</v>
      </c>
      <c r="DE32">
        <v>0</v>
      </c>
      <c r="DF32">
        <f t="shared" si="24"/>
        <v>0</v>
      </c>
      <c r="DH32">
        <v>0</v>
      </c>
      <c r="DI32">
        <f t="shared" si="25"/>
        <v>0</v>
      </c>
      <c r="DK32">
        <v>1</v>
      </c>
      <c r="DL32">
        <f t="shared" si="26"/>
        <v>0.27322404371584702</v>
      </c>
      <c r="DP32" t="s">
        <v>303</v>
      </c>
      <c r="DQ32" s="1" t="s">
        <v>31</v>
      </c>
      <c r="DR32">
        <v>0</v>
      </c>
      <c r="DS32">
        <f t="shared" si="27"/>
        <v>0</v>
      </c>
      <c r="DU32">
        <v>3</v>
      </c>
      <c r="DV32">
        <f t="shared" si="28"/>
        <v>0.91743119266055051</v>
      </c>
      <c r="DX32">
        <v>0</v>
      </c>
      <c r="DY32">
        <f t="shared" si="29"/>
        <v>0</v>
      </c>
      <c r="EA32">
        <v>0</v>
      </c>
      <c r="EB32">
        <f t="shared" si="30"/>
        <v>0</v>
      </c>
      <c r="EF32" t="s">
        <v>303</v>
      </c>
      <c r="EG32" s="1" t="s">
        <v>332</v>
      </c>
      <c r="EH32">
        <v>0</v>
      </c>
      <c r="EI32">
        <f t="shared" si="31"/>
        <v>0</v>
      </c>
      <c r="EK32">
        <v>0</v>
      </c>
      <c r="EL32">
        <f t="shared" si="32"/>
        <v>0</v>
      </c>
      <c r="EN32">
        <v>1</v>
      </c>
      <c r="EO32">
        <f t="shared" si="33"/>
        <v>3.6616623947272067E-2</v>
      </c>
      <c r="EQ32">
        <v>0</v>
      </c>
      <c r="ER32">
        <f t="shared" si="34"/>
        <v>0</v>
      </c>
    </row>
    <row r="33" spans="1:148" x14ac:dyDescent="0.25">
      <c r="A33" t="s">
        <v>568</v>
      </c>
      <c r="B33" t="s">
        <v>550</v>
      </c>
      <c r="C33">
        <v>46</v>
      </c>
      <c r="D33">
        <f t="shared" si="1"/>
        <v>5.75</v>
      </c>
      <c r="G33" t="s">
        <v>303</v>
      </c>
      <c r="H33" s="1" t="s">
        <v>419</v>
      </c>
      <c r="I33">
        <v>17</v>
      </c>
      <c r="J33">
        <f t="shared" si="2"/>
        <v>1.7989417989417988</v>
      </c>
      <c r="M33" t="s">
        <v>303</v>
      </c>
      <c r="N33" s="2" t="s">
        <v>211</v>
      </c>
      <c r="O33" s="2">
        <v>1</v>
      </c>
      <c r="P33">
        <f t="shared" si="3"/>
        <v>0.23923444976076555</v>
      </c>
      <c r="Q33" s="2"/>
      <c r="R33">
        <v>0</v>
      </c>
      <c r="S33">
        <f t="shared" si="4"/>
        <v>0</v>
      </c>
      <c r="U33">
        <v>17</v>
      </c>
      <c r="V33">
        <f t="shared" si="0"/>
        <v>6.1151079136690649</v>
      </c>
      <c r="X33">
        <v>0</v>
      </c>
      <c r="Y33">
        <f t="shared" si="5"/>
        <v>0</v>
      </c>
      <c r="AC33" t="s">
        <v>303</v>
      </c>
      <c r="AD33" s="1" t="s">
        <v>11</v>
      </c>
      <c r="AE33">
        <v>13</v>
      </c>
      <c r="AF33">
        <f t="shared" si="6"/>
        <v>4.4368600682593859</v>
      </c>
      <c r="AH33">
        <v>5</v>
      </c>
      <c r="AI33">
        <f t="shared" si="7"/>
        <v>2.8571428571428572</v>
      </c>
      <c r="AK33">
        <v>21</v>
      </c>
      <c r="AL33">
        <f t="shared" si="8"/>
        <v>10.194174757281553</v>
      </c>
      <c r="AN33">
        <v>10</v>
      </c>
      <c r="AO33">
        <f t="shared" si="9"/>
        <v>6.369426751592357</v>
      </c>
      <c r="AS33" t="s">
        <v>303</v>
      </c>
      <c r="AT33" s="25" t="s">
        <v>604</v>
      </c>
      <c r="AU33">
        <v>4</v>
      </c>
      <c r="AV33" s="4">
        <f t="shared" si="10"/>
        <v>1.834862385321101</v>
      </c>
      <c r="AX33">
        <v>1</v>
      </c>
      <c r="AY33">
        <f t="shared" si="11"/>
        <v>0.41322314049586778</v>
      </c>
      <c r="BA33">
        <v>1</v>
      </c>
      <c r="BB33">
        <f t="shared" si="12"/>
        <v>0.92592592592592582</v>
      </c>
      <c r="BD33">
        <v>0</v>
      </c>
      <c r="BE33">
        <f t="shared" si="13"/>
        <v>0</v>
      </c>
      <c r="BI33" s="9" t="s">
        <v>303</v>
      </c>
      <c r="BJ33" s="26" t="s">
        <v>243</v>
      </c>
      <c r="BK33" s="9">
        <v>3</v>
      </c>
      <c r="BL33" s="9">
        <f t="shared" si="14"/>
        <v>0.13333333333333333</v>
      </c>
      <c r="BM33" s="9"/>
      <c r="BN33" s="9">
        <v>7</v>
      </c>
      <c r="BO33" s="9">
        <f t="shared" si="15"/>
        <v>0.24535576586049773</v>
      </c>
      <c r="BP33" s="9"/>
      <c r="BQ33" s="9">
        <v>0</v>
      </c>
      <c r="BR33">
        <f t="shared" si="16"/>
        <v>0</v>
      </c>
      <c r="BV33" t="s">
        <v>315</v>
      </c>
      <c r="BW33" t="s">
        <v>16</v>
      </c>
      <c r="BX33">
        <v>19</v>
      </c>
      <c r="BY33">
        <f t="shared" si="17"/>
        <v>4.1304347826086953</v>
      </c>
      <c r="CA33">
        <v>13</v>
      </c>
      <c r="CB33">
        <f t="shared" si="18"/>
        <v>4.7619047619047619</v>
      </c>
      <c r="CD33">
        <v>11</v>
      </c>
      <c r="CE33">
        <f t="shared" si="19"/>
        <v>4.1044776119402986</v>
      </c>
      <c r="CI33" t="s">
        <v>303</v>
      </c>
      <c r="CJ33" s="1" t="s">
        <v>290</v>
      </c>
      <c r="CK33">
        <v>5</v>
      </c>
      <c r="CL33">
        <f t="shared" si="20"/>
        <v>2.6178010471204187</v>
      </c>
      <c r="CN33">
        <v>1</v>
      </c>
      <c r="CO33">
        <f t="shared" si="21"/>
        <v>0.38022813688212925</v>
      </c>
      <c r="CQ33">
        <v>1</v>
      </c>
      <c r="CR33">
        <f t="shared" si="22"/>
        <v>0.34722222222222221</v>
      </c>
      <c r="CV33" t="s">
        <v>315</v>
      </c>
      <c r="CW33" s="1" t="s">
        <v>38</v>
      </c>
      <c r="CX33">
        <v>9</v>
      </c>
      <c r="CY33">
        <f t="shared" si="23"/>
        <v>2.3255813953488373</v>
      </c>
      <c r="DC33" t="s">
        <v>303</v>
      </c>
      <c r="DD33" s="1" t="s">
        <v>157</v>
      </c>
      <c r="DE33">
        <v>2</v>
      </c>
      <c r="DF33">
        <f t="shared" si="24"/>
        <v>0.45248868778280549</v>
      </c>
      <c r="DH33">
        <v>0</v>
      </c>
      <c r="DI33">
        <f t="shared" si="25"/>
        <v>0</v>
      </c>
      <c r="DK33">
        <v>0</v>
      </c>
      <c r="DL33">
        <f t="shared" si="26"/>
        <v>0</v>
      </c>
      <c r="DP33" t="s">
        <v>303</v>
      </c>
      <c r="DQ33" s="1" t="s">
        <v>331</v>
      </c>
      <c r="DR33">
        <v>0</v>
      </c>
      <c r="DS33">
        <f t="shared" si="27"/>
        <v>0</v>
      </c>
      <c r="DU33">
        <v>0</v>
      </c>
      <c r="DV33">
        <f t="shared" si="28"/>
        <v>0</v>
      </c>
      <c r="DX33">
        <v>0</v>
      </c>
      <c r="DY33">
        <f t="shared" si="29"/>
        <v>0</v>
      </c>
      <c r="EA33">
        <v>1</v>
      </c>
      <c r="EB33">
        <f t="shared" si="30"/>
        <v>2.9603315571343988E-2</v>
      </c>
      <c r="EF33" t="s">
        <v>303</v>
      </c>
      <c r="EG33" t="s">
        <v>405</v>
      </c>
      <c r="EH33">
        <v>0</v>
      </c>
      <c r="EI33">
        <f t="shared" si="31"/>
        <v>0</v>
      </c>
      <c r="EK33">
        <v>0</v>
      </c>
      <c r="EL33">
        <f t="shared" si="32"/>
        <v>0</v>
      </c>
      <c r="EN33">
        <v>1</v>
      </c>
      <c r="EO33">
        <f t="shared" si="33"/>
        <v>3.6616623947272067E-2</v>
      </c>
      <c r="EQ33">
        <v>3</v>
      </c>
      <c r="ER33">
        <f t="shared" si="34"/>
        <v>1.2658227848101267</v>
      </c>
    </row>
    <row r="34" spans="1:148" x14ac:dyDescent="0.25">
      <c r="A34" t="s">
        <v>568</v>
      </c>
      <c r="B34" s="1" t="s">
        <v>67</v>
      </c>
      <c r="C34">
        <v>1</v>
      </c>
      <c r="D34">
        <f t="shared" si="1"/>
        <v>0.125</v>
      </c>
      <c r="G34" t="s">
        <v>303</v>
      </c>
      <c r="H34" s="1" t="s">
        <v>147</v>
      </c>
      <c r="I34">
        <v>8</v>
      </c>
      <c r="J34">
        <f t="shared" si="2"/>
        <v>0.84656084656084662</v>
      </c>
      <c r="M34" t="s">
        <v>303</v>
      </c>
      <c r="N34" t="s">
        <v>215</v>
      </c>
      <c r="O34">
        <v>3</v>
      </c>
      <c r="P34">
        <f t="shared" si="3"/>
        <v>0.71770334928229662</v>
      </c>
      <c r="R34">
        <v>0</v>
      </c>
      <c r="S34">
        <f t="shared" si="4"/>
        <v>0</v>
      </c>
      <c r="U34">
        <v>0</v>
      </c>
      <c r="V34">
        <f t="shared" si="0"/>
        <v>0</v>
      </c>
      <c r="X34">
        <v>0</v>
      </c>
      <c r="Y34">
        <f t="shared" si="5"/>
        <v>0</v>
      </c>
      <c r="AC34" t="s">
        <v>303</v>
      </c>
      <c r="AD34" s="1" t="s">
        <v>437</v>
      </c>
      <c r="AE34">
        <v>4</v>
      </c>
      <c r="AF34">
        <f t="shared" si="6"/>
        <v>1.3651877133105803</v>
      </c>
      <c r="AH34">
        <v>7</v>
      </c>
      <c r="AI34">
        <f t="shared" si="7"/>
        <v>4</v>
      </c>
      <c r="AK34">
        <v>6</v>
      </c>
      <c r="AL34">
        <f t="shared" si="8"/>
        <v>2.912621359223301</v>
      </c>
      <c r="AN34">
        <v>0</v>
      </c>
      <c r="AO34">
        <f t="shared" si="9"/>
        <v>0</v>
      </c>
      <c r="AS34" t="s">
        <v>303</v>
      </c>
      <c r="AT34" s="25" t="s">
        <v>606</v>
      </c>
      <c r="AU34">
        <v>3</v>
      </c>
      <c r="AV34" s="4">
        <f t="shared" si="10"/>
        <v>1.3761467889908259</v>
      </c>
      <c r="AX34">
        <v>0</v>
      </c>
      <c r="AY34">
        <f t="shared" si="11"/>
        <v>0</v>
      </c>
      <c r="BA34">
        <v>0</v>
      </c>
      <c r="BB34">
        <f t="shared" si="12"/>
        <v>0</v>
      </c>
      <c r="BD34">
        <v>0</v>
      </c>
      <c r="BE34">
        <f t="shared" si="13"/>
        <v>0</v>
      </c>
      <c r="BI34" s="9" t="s">
        <v>303</v>
      </c>
      <c r="BJ34" s="9" t="s">
        <v>279</v>
      </c>
      <c r="BK34" s="9">
        <v>65</v>
      </c>
      <c r="BL34" s="9">
        <f t="shared" si="14"/>
        <v>2.8888888888888888</v>
      </c>
      <c r="BM34" s="9"/>
      <c r="BN34" s="9">
        <v>1233</v>
      </c>
      <c r="BO34" s="9">
        <f t="shared" si="15"/>
        <v>43.217665615141954</v>
      </c>
      <c r="BP34" s="9"/>
      <c r="BQ34" s="9">
        <v>1080</v>
      </c>
      <c r="BR34">
        <f t="shared" si="16"/>
        <v>27</v>
      </c>
      <c r="BV34" t="s">
        <v>315</v>
      </c>
      <c r="BW34" s="1" t="s">
        <v>20</v>
      </c>
      <c r="BX34">
        <v>23</v>
      </c>
      <c r="BY34">
        <f t="shared" si="17"/>
        <v>5</v>
      </c>
      <c r="CA34">
        <v>8</v>
      </c>
      <c r="CB34">
        <f t="shared" si="18"/>
        <v>2.9304029304029302</v>
      </c>
      <c r="CD34">
        <v>30</v>
      </c>
      <c r="CE34">
        <f t="shared" si="19"/>
        <v>11.194029850746269</v>
      </c>
      <c r="CI34" t="s">
        <v>303</v>
      </c>
      <c r="CJ34" s="1" t="s">
        <v>440</v>
      </c>
      <c r="CK34">
        <v>1</v>
      </c>
      <c r="CL34">
        <f t="shared" si="20"/>
        <v>0.52356020942408377</v>
      </c>
      <c r="CN34">
        <v>0</v>
      </c>
      <c r="CO34">
        <f t="shared" si="21"/>
        <v>0</v>
      </c>
      <c r="CQ34">
        <v>0</v>
      </c>
      <c r="CR34">
        <f t="shared" si="22"/>
        <v>0</v>
      </c>
      <c r="CV34" t="s">
        <v>315</v>
      </c>
      <c r="CW34" s="1" t="s">
        <v>477</v>
      </c>
      <c r="CX34">
        <v>26</v>
      </c>
      <c r="CY34">
        <f t="shared" si="23"/>
        <v>6.7183462532299743</v>
      </c>
      <c r="DC34" t="s">
        <v>303</v>
      </c>
      <c r="DD34" t="s">
        <v>119</v>
      </c>
      <c r="DE34">
        <v>4</v>
      </c>
      <c r="DF34">
        <f t="shared" si="24"/>
        <v>0.90497737556561098</v>
      </c>
      <c r="DH34">
        <v>2</v>
      </c>
      <c r="DI34">
        <f t="shared" si="25"/>
        <v>0.51948051948051943</v>
      </c>
      <c r="DK34">
        <v>3</v>
      </c>
      <c r="DL34">
        <f t="shared" si="26"/>
        <v>0.81967213114754101</v>
      </c>
      <c r="DP34" t="s">
        <v>303</v>
      </c>
      <c r="DQ34" t="s">
        <v>231</v>
      </c>
      <c r="DR34">
        <v>0</v>
      </c>
      <c r="DS34">
        <f t="shared" si="27"/>
        <v>0</v>
      </c>
      <c r="DU34">
        <v>3</v>
      </c>
      <c r="DV34">
        <f t="shared" si="28"/>
        <v>0.91743119266055051</v>
      </c>
      <c r="DX34">
        <v>0</v>
      </c>
      <c r="DY34">
        <f t="shared" si="29"/>
        <v>0</v>
      </c>
      <c r="EA34">
        <v>0</v>
      </c>
      <c r="EB34">
        <f t="shared" si="30"/>
        <v>0</v>
      </c>
      <c r="EF34" t="s">
        <v>303</v>
      </c>
      <c r="EG34" t="s">
        <v>106</v>
      </c>
      <c r="EH34">
        <v>0</v>
      </c>
      <c r="EI34">
        <f t="shared" si="31"/>
        <v>0</v>
      </c>
      <c r="EK34">
        <v>0</v>
      </c>
      <c r="EL34">
        <f t="shared" si="32"/>
        <v>0</v>
      </c>
      <c r="EN34">
        <v>0</v>
      </c>
      <c r="EO34">
        <f t="shared" si="33"/>
        <v>0</v>
      </c>
      <c r="EQ34">
        <v>1</v>
      </c>
      <c r="ER34">
        <f t="shared" si="34"/>
        <v>0.42194092827004215</v>
      </c>
    </row>
    <row r="35" spans="1:148" x14ac:dyDescent="0.25">
      <c r="C35">
        <f>SUM(C8:C34)</f>
        <v>800</v>
      </c>
      <c r="D35">
        <f>SUM(D8:D34)</f>
        <v>100</v>
      </c>
      <c r="G35" t="s">
        <v>303</v>
      </c>
      <c r="H35" s="1" t="s">
        <v>68</v>
      </c>
      <c r="I35">
        <v>1</v>
      </c>
      <c r="J35">
        <f t="shared" si="2"/>
        <v>0.10582010582010583</v>
      </c>
      <c r="M35" t="s">
        <v>303</v>
      </c>
      <c r="N35" s="1" t="s">
        <v>217</v>
      </c>
      <c r="O35">
        <v>3</v>
      </c>
      <c r="P35">
        <f t="shared" si="3"/>
        <v>0.71770334928229662</v>
      </c>
      <c r="R35">
        <v>0</v>
      </c>
      <c r="S35">
        <f t="shared" si="4"/>
        <v>0</v>
      </c>
      <c r="U35">
        <v>0</v>
      </c>
      <c r="V35">
        <f t="shared" si="0"/>
        <v>0</v>
      </c>
      <c r="X35">
        <v>0</v>
      </c>
      <c r="Y35">
        <f t="shared" si="5"/>
        <v>0</v>
      </c>
      <c r="AC35" t="s">
        <v>303</v>
      </c>
      <c r="AD35" s="1" t="s">
        <v>439</v>
      </c>
      <c r="AE35">
        <v>2</v>
      </c>
      <c r="AF35">
        <f t="shared" si="6"/>
        <v>0.68259385665529015</v>
      </c>
      <c r="AH35">
        <v>3</v>
      </c>
      <c r="AI35">
        <f t="shared" si="7"/>
        <v>1.7142857142857144</v>
      </c>
      <c r="AK35">
        <v>0</v>
      </c>
      <c r="AL35">
        <f t="shared" si="8"/>
        <v>0</v>
      </c>
      <c r="AN35">
        <v>0</v>
      </c>
      <c r="AO35">
        <f t="shared" si="9"/>
        <v>0</v>
      </c>
      <c r="AS35" t="s">
        <v>303</v>
      </c>
      <c r="AT35" s="25" t="s">
        <v>607</v>
      </c>
      <c r="AU35">
        <v>1</v>
      </c>
      <c r="AV35" s="4">
        <f t="shared" si="10"/>
        <v>0.45871559633027525</v>
      </c>
      <c r="AX35">
        <v>5</v>
      </c>
      <c r="AY35">
        <f t="shared" si="11"/>
        <v>2.0661157024793391</v>
      </c>
      <c r="BA35">
        <v>7</v>
      </c>
      <c r="BB35">
        <f t="shared" si="12"/>
        <v>6.481481481481481</v>
      </c>
      <c r="BD35">
        <v>0</v>
      </c>
      <c r="BE35">
        <f t="shared" si="13"/>
        <v>0</v>
      </c>
      <c r="BI35" s="9" t="s">
        <v>303</v>
      </c>
      <c r="BJ35" s="9" t="s">
        <v>234</v>
      </c>
      <c r="BK35" s="9">
        <v>0</v>
      </c>
      <c r="BL35" s="9">
        <f t="shared" si="14"/>
        <v>0</v>
      </c>
      <c r="BM35" s="9"/>
      <c r="BN35" s="9">
        <v>1</v>
      </c>
      <c r="BO35" s="9">
        <f t="shared" si="15"/>
        <v>3.5050823694356817E-2</v>
      </c>
      <c r="BP35" s="9"/>
      <c r="BQ35" s="9">
        <v>0</v>
      </c>
      <c r="BR35">
        <f t="shared" si="16"/>
        <v>0</v>
      </c>
      <c r="BV35" t="s">
        <v>315</v>
      </c>
      <c r="BW35" s="1" t="s">
        <v>482</v>
      </c>
      <c r="BX35">
        <v>88</v>
      </c>
      <c r="BY35">
        <f t="shared" si="17"/>
        <v>19.130434782608695</v>
      </c>
      <c r="CA35">
        <v>18</v>
      </c>
      <c r="CB35">
        <f t="shared" si="18"/>
        <v>6.593406593406594</v>
      </c>
      <c r="CD35">
        <v>20</v>
      </c>
      <c r="CE35">
        <f t="shared" si="19"/>
        <v>7.4626865671641784</v>
      </c>
      <c r="CI35" t="s">
        <v>303</v>
      </c>
      <c r="CJ35" s="1" t="s">
        <v>289</v>
      </c>
      <c r="CK35">
        <v>3</v>
      </c>
      <c r="CL35">
        <f t="shared" si="20"/>
        <v>1.5706806282722512</v>
      </c>
      <c r="CN35">
        <v>0</v>
      </c>
      <c r="CO35">
        <f t="shared" si="21"/>
        <v>0</v>
      </c>
      <c r="CQ35">
        <v>0</v>
      </c>
      <c r="CR35">
        <f t="shared" si="22"/>
        <v>0</v>
      </c>
      <c r="CV35" t="s">
        <v>315</v>
      </c>
      <c r="CW35" s="1" t="s">
        <v>531</v>
      </c>
      <c r="CX35">
        <v>20</v>
      </c>
      <c r="CY35">
        <f t="shared" si="23"/>
        <v>5.1679586563307494</v>
      </c>
      <c r="DC35" t="s">
        <v>303</v>
      </c>
      <c r="DD35" t="s">
        <v>101</v>
      </c>
      <c r="DE35">
        <v>1</v>
      </c>
      <c r="DF35">
        <f t="shared" si="24"/>
        <v>0.22624434389140274</v>
      </c>
      <c r="DH35">
        <v>0</v>
      </c>
      <c r="DI35">
        <f t="shared" si="25"/>
        <v>0</v>
      </c>
      <c r="DK35">
        <v>0</v>
      </c>
      <c r="DL35">
        <f t="shared" si="26"/>
        <v>0</v>
      </c>
      <c r="DP35" t="s">
        <v>303</v>
      </c>
      <c r="DQ35" t="s">
        <v>496</v>
      </c>
      <c r="DR35">
        <v>0</v>
      </c>
      <c r="DS35">
        <f t="shared" si="27"/>
        <v>0</v>
      </c>
      <c r="DU35">
        <v>0</v>
      </c>
      <c r="DV35">
        <f t="shared" si="28"/>
        <v>0</v>
      </c>
      <c r="DX35">
        <v>1</v>
      </c>
      <c r="DY35">
        <f t="shared" si="29"/>
        <v>2.5207965717166627E-2</v>
      </c>
      <c r="EA35">
        <v>0</v>
      </c>
      <c r="EB35">
        <f t="shared" si="30"/>
        <v>0</v>
      </c>
      <c r="EF35" t="s">
        <v>303</v>
      </c>
      <c r="EG35" t="s">
        <v>71</v>
      </c>
      <c r="EH35">
        <v>0</v>
      </c>
      <c r="EI35">
        <f t="shared" si="31"/>
        <v>0</v>
      </c>
      <c r="EK35">
        <v>0</v>
      </c>
      <c r="EL35">
        <f t="shared" si="32"/>
        <v>0</v>
      </c>
      <c r="EN35">
        <v>1</v>
      </c>
      <c r="EO35">
        <f t="shared" si="33"/>
        <v>3.6616623947272067E-2</v>
      </c>
      <c r="EQ35">
        <v>1</v>
      </c>
      <c r="ER35">
        <f t="shared" si="34"/>
        <v>0.42194092827004215</v>
      </c>
    </row>
    <row r="36" spans="1:148" x14ac:dyDescent="0.25">
      <c r="G36" t="s">
        <v>303</v>
      </c>
      <c r="H36" s="1" t="s">
        <v>55</v>
      </c>
      <c r="I36">
        <v>1</v>
      </c>
      <c r="J36">
        <f t="shared" si="2"/>
        <v>0.10582010582010583</v>
      </c>
      <c r="M36" t="s">
        <v>303</v>
      </c>
      <c r="N36" t="s">
        <v>219</v>
      </c>
      <c r="O36">
        <v>1</v>
      </c>
      <c r="P36">
        <f t="shared" si="3"/>
        <v>0.23923444976076555</v>
      </c>
      <c r="R36">
        <v>0</v>
      </c>
      <c r="S36">
        <f t="shared" si="4"/>
        <v>0</v>
      </c>
      <c r="U36">
        <v>0</v>
      </c>
      <c r="V36">
        <f t="shared" si="0"/>
        <v>0</v>
      </c>
      <c r="X36">
        <v>0</v>
      </c>
      <c r="Y36">
        <f t="shared" si="5"/>
        <v>0</v>
      </c>
      <c r="AC36" t="s">
        <v>303</v>
      </c>
      <c r="AD36" s="1" t="s">
        <v>12</v>
      </c>
      <c r="AE36">
        <v>1</v>
      </c>
      <c r="AF36">
        <f t="shared" si="6"/>
        <v>0.34129692832764508</v>
      </c>
      <c r="AH36">
        <v>0</v>
      </c>
      <c r="AI36">
        <f t="shared" si="7"/>
        <v>0</v>
      </c>
      <c r="AK36">
        <v>0</v>
      </c>
      <c r="AL36">
        <f t="shared" si="8"/>
        <v>0</v>
      </c>
      <c r="AN36">
        <v>0</v>
      </c>
      <c r="AO36">
        <f t="shared" si="9"/>
        <v>0</v>
      </c>
      <c r="AS36" t="s">
        <v>303</v>
      </c>
      <c r="AT36" s="25" t="s">
        <v>608</v>
      </c>
      <c r="AU36">
        <v>2</v>
      </c>
      <c r="AV36" s="4">
        <f t="shared" si="10"/>
        <v>0.91743119266055051</v>
      </c>
      <c r="AX36">
        <v>1</v>
      </c>
      <c r="AY36">
        <f t="shared" si="11"/>
        <v>0.41322314049586778</v>
      </c>
      <c r="BA36">
        <v>3</v>
      </c>
      <c r="BB36">
        <f t="shared" si="12"/>
        <v>2.7777777777777777</v>
      </c>
      <c r="BD36">
        <v>3</v>
      </c>
      <c r="BE36">
        <f t="shared" si="13"/>
        <v>2.3809523809523809</v>
      </c>
      <c r="BI36" s="9" t="s">
        <v>315</v>
      </c>
      <c r="BJ36" s="9" t="s">
        <v>16</v>
      </c>
      <c r="BK36" s="9">
        <v>3</v>
      </c>
      <c r="BL36" s="9">
        <f t="shared" si="14"/>
        <v>0.13333333333333333</v>
      </c>
      <c r="BM36" s="9"/>
      <c r="BN36" s="9">
        <v>25</v>
      </c>
      <c r="BO36" s="9">
        <f t="shared" si="15"/>
        <v>0.87627059235892046</v>
      </c>
      <c r="BP36" s="9"/>
      <c r="BQ36" s="9">
        <v>17</v>
      </c>
      <c r="BR36">
        <f t="shared" si="16"/>
        <v>0.42500000000000004</v>
      </c>
      <c r="BV36" t="s">
        <v>315</v>
      </c>
      <c r="BW36" s="1" t="s">
        <v>38</v>
      </c>
      <c r="BX36">
        <v>19</v>
      </c>
      <c r="BY36">
        <f t="shared" si="17"/>
        <v>4.1304347826086953</v>
      </c>
      <c r="CA36">
        <v>1</v>
      </c>
      <c r="CB36">
        <f t="shared" si="18"/>
        <v>0.36630036630036628</v>
      </c>
      <c r="CD36">
        <v>1</v>
      </c>
      <c r="CE36">
        <f t="shared" si="19"/>
        <v>0.37313432835820892</v>
      </c>
      <c r="CI36" t="s">
        <v>303</v>
      </c>
      <c r="CJ36" s="1" t="s">
        <v>494</v>
      </c>
      <c r="CK36">
        <v>0</v>
      </c>
      <c r="CL36">
        <f t="shared" si="20"/>
        <v>0</v>
      </c>
      <c r="CN36">
        <v>6</v>
      </c>
      <c r="CO36">
        <f t="shared" si="21"/>
        <v>2.2813688212927756</v>
      </c>
      <c r="CQ36">
        <v>0</v>
      </c>
      <c r="CR36">
        <f t="shared" si="22"/>
        <v>0</v>
      </c>
      <c r="CV36" t="s">
        <v>315</v>
      </c>
      <c r="CW36" s="1" t="s">
        <v>277</v>
      </c>
      <c r="CX36">
        <v>5</v>
      </c>
      <c r="CY36">
        <f t="shared" si="23"/>
        <v>1.2919896640826873</v>
      </c>
      <c r="DC36" t="s">
        <v>303</v>
      </c>
      <c r="DD36" t="s">
        <v>263</v>
      </c>
      <c r="DE36">
        <v>0</v>
      </c>
      <c r="DF36">
        <f t="shared" si="24"/>
        <v>0</v>
      </c>
      <c r="DH36">
        <v>1</v>
      </c>
      <c r="DI36">
        <f t="shared" si="25"/>
        <v>0.25974025974025972</v>
      </c>
      <c r="DK36">
        <v>0</v>
      </c>
      <c r="DL36">
        <f t="shared" si="26"/>
        <v>0</v>
      </c>
      <c r="DP36" t="s">
        <v>303</v>
      </c>
      <c r="DQ36" t="s">
        <v>71</v>
      </c>
      <c r="DR36">
        <v>0</v>
      </c>
      <c r="DS36">
        <f t="shared" si="27"/>
        <v>0</v>
      </c>
      <c r="DU36">
        <v>3</v>
      </c>
      <c r="DV36">
        <f t="shared" si="28"/>
        <v>0.91743119266055051</v>
      </c>
      <c r="DX36">
        <v>4</v>
      </c>
      <c r="DY36">
        <f t="shared" si="29"/>
        <v>0.10083186286866651</v>
      </c>
      <c r="EA36">
        <v>0</v>
      </c>
      <c r="EB36">
        <f t="shared" si="30"/>
        <v>0</v>
      </c>
      <c r="EF36" t="s">
        <v>303</v>
      </c>
      <c r="EG36" t="s">
        <v>526</v>
      </c>
      <c r="EH36">
        <v>0</v>
      </c>
      <c r="EI36">
        <f t="shared" si="31"/>
        <v>0</v>
      </c>
      <c r="EK36">
        <v>1</v>
      </c>
      <c r="EL36">
        <f t="shared" si="32"/>
        <v>0.1953125</v>
      </c>
      <c r="EN36">
        <v>1</v>
      </c>
      <c r="EO36">
        <f t="shared" si="33"/>
        <v>3.6616623947272067E-2</v>
      </c>
      <c r="EQ36">
        <v>0</v>
      </c>
      <c r="ER36">
        <f t="shared" si="34"/>
        <v>0</v>
      </c>
    </row>
    <row r="37" spans="1:148" x14ac:dyDescent="0.25">
      <c r="G37" t="s">
        <v>303</v>
      </c>
      <c r="H37" s="1" t="s">
        <v>413</v>
      </c>
      <c r="I37">
        <v>3</v>
      </c>
      <c r="J37">
        <f t="shared" si="2"/>
        <v>0.31746031746031744</v>
      </c>
      <c r="M37" t="s">
        <v>315</v>
      </c>
      <c r="N37" t="s">
        <v>183</v>
      </c>
      <c r="O37">
        <v>24</v>
      </c>
      <c r="P37">
        <f t="shared" si="3"/>
        <v>5.741626794258373</v>
      </c>
      <c r="R37">
        <v>4</v>
      </c>
      <c r="S37">
        <f t="shared" si="4"/>
        <v>1.6194331983805668</v>
      </c>
      <c r="U37">
        <v>11</v>
      </c>
      <c r="V37">
        <f t="shared" si="0"/>
        <v>3.9568345323741005</v>
      </c>
      <c r="X37">
        <v>0</v>
      </c>
      <c r="Y37">
        <f t="shared" si="5"/>
        <v>0</v>
      </c>
      <c r="AC37" t="s">
        <v>303</v>
      </c>
      <c r="AD37" s="1" t="s">
        <v>440</v>
      </c>
      <c r="AE37">
        <v>2</v>
      </c>
      <c r="AF37">
        <f t="shared" si="6"/>
        <v>0.68259385665529015</v>
      </c>
      <c r="AH37">
        <v>1</v>
      </c>
      <c r="AI37">
        <f t="shared" si="7"/>
        <v>0.5714285714285714</v>
      </c>
      <c r="AK37">
        <v>0</v>
      </c>
      <c r="AL37">
        <f t="shared" si="8"/>
        <v>0</v>
      </c>
      <c r="AN37">
        <v>0</v>
      </c>
      <c r="AO37">
        <f t="shared" si="9"/>
        <v>0</v>
      </c>
      <c r="AS37" t="s">
        <v>303</v>
      </c>
      <c r="AT37" s="25" t="s">
        <v>609</v>
      </c>
      <c r="AU37">
        <v>1</v>
      </c>
      <c r="AV37" s="4">
        <f t="shared" si="10"/>
        <v>0.45871559633027525</v>
      </c>
      <c r="AX37">
        <v>1</v>
      </c>
      <c r="AY37">
        <f t="shared" si="11"/>
        <v>0.41322314049586778</v>
      </c>
      <c r="BA37">
        <v>2</v>
      </c>
      <c r="BB37">
        <f t="shared" si="12"/>
        <v>1.8518518518518516</v>
      </c>
      <c r="BD37">
        <v>0</v>
      </c>
      <c r="BE37">
        <f t="shared" si="13"/>
        <v>0</v>
      </c>
      <c r="BI37" s="9" t="s">
        <v>315</v>
      </c>
      <c r="BJ37" s="26" t="s">
        <v>20</v>
      </c>
      <c r="BK37" s="9">
        <v>5</v>
      </c>
      <c r="BL37" s="9">
        <f t="shared" si="14"/>
        <v>0.22222222222222221</v>
      </c>
      <c r="BM37" s="9"/>
      <c r="BN37" s="9">
        <v>1</v>
      </c>
      <c r="BO37" s="9">
        <f t="shared" si="15"/>
        <v>3.5050823694356817E-2</v>
      </c>
      <c r="BP37" s="9"/>
      <c r="BQ37" s="9">
        <v>7</v>
      </c>
      <c r="BR37">
        <f t="shared" si="16"/>
        <v>0.17500000000000002</v>
      </c>
      <c r="BV37" t="s">
        <v>315</v>
      </c>
      <c r="BW37" s="1" t="s">
        <v>137</v>
      </c>
      <c r="BX37">
        <v>1</v>
      </c>
      <c r="BY37">
        <f t="shared" si="17"/>
        <v>0.21739130434782608</v>
      </c>
      <c r="CA37">
        <v>0</v>
      </c>
      <c r="CB37">
        <f t="shared" si="18"/>
        <v>0</v>
      </c>
      <c r="CD37">
        <v>0</v>
      </c>
      <c r="CE37">
        <f t="shared" si="19"/>
        <v>0</v>
      </c>
      <c r="CI37" t="s">
        <v>303</v>
      </c>
      <c r="CJ37" s="1" t="s">
        <v>331</v>
      </c>
      <c r="CK37">
        <v>0</v>
      </c>
      <c r="CL37">
        <f t="shared" si="20"/>
        <v>0</v>
      </c>
      <c r="CN37">
        <v>3</v>
      </c>
      <c r="CO37">
        <f t="shared" si="21"/>
        <v>1.1406844106463878</v>
      </c>
      <c r="CQ37">
        <v>0</v>
      </c>
      <c r="CR37">
        <f t="shared" si="22"/>
        <v>0</v>
      </c>
      <c r="CV37" t="s">
        <v>315</v>
      </c>
      <c r="CW37" s="1" t="s">
        <v>474</v>
      </c>
      <c r="CX37">
        <v>7</v>
      </c>
      <c r="CY37">
        <f t="shared" si="23"/>
        <v>1.8087855297157622</v>
      </c>
      <c r="DC37" t="s">
        <v>303</v>
      </c>
      <c r="DD37" t="s">
        <v>82</v>
      </c>
      <c r="DE37">
        <v>0</v>
      </c>
      <c r="DF37">
        <f t="shared" si="24"/>
        <v>0</v>
      </c>
      <c r="DH37">
        <v>18</v>
      </c>
      <c r="DI37">
        <f t="shared" si="25"/>
        <v>4.6753246753246751</v>
      </c>
      <c r="DK37">
        <v>0</v>
      </c>
      <c r="DL37">
        <f t="shared" si="26"/>
        <v>0</v>
      </c>
      <c r="DP37" t="s">
        <v>303</v>
      </c>
      <c r="DQ37" t="s">
        <v>119</v>
      </c>
      <c r="DR37">
        <v>0</v>
      </c>
      <c r="DS37">
        <f t="shared" si="27"/>
        <v>0</v>
      </c>
      <c r="DU37">
        <v>0</v>
      </c>
      <c r="DV37">
        <f t="shared" si="28"/>
        <v>0</v>
      </c>
      <c r="DX37">
        <v>0</v>
      </c>
      <c r="DY37">
        <f t="shared" si="29"/>
        <v>0</v>
      </c>
      <c r="EA37">
        <v>1</v>
      </c>
      <c r="EB37">
        <f t="shared" si="30"/>
        <v>2.9603315571343988E-2</v>
      </c>
      <c r="EF37" t="s">
        <v>303</v>
      </c>
      <c r="EG37" t="s">
        <v>119</v>
      </c>
      <c r="EH37">
        <v>1</v>
      </c>
      <c r="EI37">
        <f t="shared" si="31"/>
        <v>4.6125461254612546E-2</v>
      </c>
      <c r="EK37">
        <v>2</v>
      </c>
      <c r="EL37">
        <f t="shared" si="32"/>
        <v>0.390625</v>
      </c>
      <c r="EN37">
        <v>6</v>
      </c>
      <c r="EO37">
        <f t="shared" si="33"/>
        <v>0.21969974368363238</v>
      </c>
      <c r="EQ37">
        <v>1</v>
      </c>
      <c r="ER37">
        <f t="shared" si="34"/>
        <v>0.42194092827004215</v>
      </c>
    </row>
    <row r="38" spans="1:148" x14ac:dyDescent="0.25">
      <c r="G38" t="s">
        <v>315</v>
      </c>
      <c r="H38" s="1" t="s">
        <v>412</v>
      </c>
      <c r="I38">
        <v>17</v>
      </c>
      <c r="J38">
        <f t="shared" si="2"/>
        <v>1.7989417989417988</v>
      </c>
      <c r="M38" t="s">
        <v>315</v>
      </c>
      <c r="N38" s="10" t="s">
        <v>420</v>
      </c>
      <c r="O38">
        <v>30</v>
      </c>
      <c r="P38">
        <f t="shared" si="3"/>
        <v>7.1770334928229662</v>
      </c>
      <c r="R38">
        <v>25</v>
      </c>
      <c r="S38">
        <f t="shared" si="4"/>
        <v>10.121457489878543</v>
      </c>
      <c r="U38">
        <v>8</v>
      </c>
      <c r="V38">
        <f t="shared" si="0"/>
        <v>2.877697841726619</v>
      </c>
      <c r="X38">
        <v>0</v>
      </c>
      <c r="Y38">
        <f t="shared" si="5"/>
        <v>0</v>
      </c>
      <c r="AC38" t="s">
        <v>303</v>
      </c>
      <c r="AD38" s="1" t="s">
        <v>443</v>
      </c>
      <c r="AE38">
        <v>2</v>
      </c>
      <c r="AF38">
        <f t="shared" si="6"/>
        <v>0.68259385665529015</v>
      </c>
      <c r="AH38">
        <v>0</v>
      </c>
      <c r="AI38">
        <f t="shared" si="7"/>
        <v>0</v>
      </c>
      <c r="AK38">
        <v>0</v>
      </c>
      <c r="AL38">
        <f t="shared" si="8"/>
        <v>0</v>
      </c>
      <c r="AN38">
        <v>0</v>
      </c>
      <c r="AO38">
        <f t="shared" si="9"/>
        <v>0</v>
      </c>
      <c r="AS38" t="s">
        <v>303</v>
      </c>
      <c r="AT38" s="25" t="s">
        <v>610</v>
      </c>
      <c r="AU38">
        <v>1</v>
      </c>
      <c r="AV38" s="4">
        <f t="shared" si="10"/>
        <v>0.45871559633027525</v>
      </c>
      <c r="AX38">
        <v>3</v>
      </c>
      <c r="AY38">
        <f t="shared" si="11"/>
        <v>1.2396694214876034</v>
      </c>
      <c r="BA38">
        <v>1</v>
      </c>
      <c r="BB38">
        <f t="shared" si="12"/>
        <v>0.92592592592592582</v>
      </c>
      <c r="BD38">
        <v>1</v>
      </c>
      <c r="BE38">
        <f t="shared" si="13"/>
        <v>0.79365079365079361</v>
      </c>
      <c r="BI38" s="9" t="s">
        <v>315</v>
      </c>
      <c r="BJ38" s="26" t="s">
        <v>476</v>
      </c>
      <c r="BK38" s="9">
        <v>0</v>
      </c>
      <c r="BL38" s="9">
        <f t="shared" si="14"/>
        <v>0</v>
      </c>
      <c r="BM38" s="9"/>
      <c r="BN38" s="9">
        <v>9</v>
      </c>
      <c r="BO38" s="9">
        <f t="shared" si="15"/>
        <v>0.31545741324921134</v>
      </c>
      <c r="BP38" s="9"/>
      <c r="BQ38" s="9">
        <v>34</v>
      </c>
      <c r="BR38">
        <f t="shared" si="16"/>
        <v>0.85000000000000009</v>
      </c>
      <c r="BV38" t="s">
        <v>315</v>
      </c>
      <c r="BW38" s="1" t="s">
        <v>136</v>
      </c>
      <c r="BX38">
        <v>8</v>
      </c>
      <c r="BY38">
        <f t="shared" si="17"/>
        <v>1.7391304347826086</v>
      </c>
      <c r="CA38">
        <v>15</v>
      </c>
      <c r="CB38">
        <f t="shared" si="18"/>
        <v>5.4945054945054945</v>
      </c>
      <c r="CD38">
        <v>6</v>
      </c>
      <c r="CE38">
        <f t="shared" si="19"/>
        <v>2.2388059701492535</v>
      </c>
      <c r="CI38" t="s">
        <v>303</v>
      </c>
      <c r="CJ38" s="1" t="s">
        <v>495</v>
      </c>
      <c r="CK38">
        <v>0</v>
      </c>
      <c r="CL38">
        <f t="shared" si="20"/>
        <v>0</v>
      </c>
      <c r="CN38">
        <v>4</v>
      </c>
      <c r="CO38">
        <f t="shared" si="21"/>
        <v>1.520912547528517</v>
      </c>
      <c r="CQ38">
        <v>0</v>
      </c>
      <c r="CR38">
        <f t="shared" si="22"/>
        <v>0</v>
      </c>
      <c r="CV38" t="s">
        <v>315</v>
      </c>
      <c r="CW38" t="s">
        <v>327</v>
      </c>
      <c r="CX38">
        <v>1</v>
      </c>
      <c r="CY38">
        <f t="shared" si="23"/>
        <v>0.2583979328165375</v>
      </c>
      <c r="DC38" t="s">
        <v>570</v>
      </c>
      <c r="DD38" s="1" t="s">
        <v>257</v>
      </c>
      <c r="DE38">
        <v>1</v>
      </c>
      <c r="DF38">
        <f t="shared" si="24"/>
        <v>0.22624434389140274</v>
      </c>
      <c r="DH38">
        <v>0</v>
      </c>
      <c r="DI38">
        <f t="shared" si="25"/>
        <v>0</v>
      </c>
      <c r="DK38">
        <v>0</v>
      </c>
      <c r="DL38">
        <f t="shared" si="26"/>
        <v>0</v>
      </c>
      <c r="DP38" t="s">
        <v>303</v>
      </c>
      <c r="DQ38" t="s">
        <v>511</v>
      </c>
      <c r="DR38">
        <v>1</v>
      </c>
      <c r="DS38">
        <f t="shared" si="27"/>
        <v>0.31847133757961787</v>
      </c>
      <c r="DU38">
        <v>3</v>
      </c>
      <c r="DV38">
        <f t="shared" si="28"/>
        <v>0.91743119266055051</v>
      </c>
      <c r="DX38">
        <v>0</v>
      </c>
      <c r="DY38">
        <f t="shared" si="29"/>
        <v>0</v>
      </c>
      <c r="EA38">
        <v>0</v>
      </c>
      <c r="EB38">
        <f t="shared" si="30"/>
        <v>0</v>
      </c>
      <c r="EF38" t="s">
        <v>303</v>
      </c>
      <c r="EG38" t="s">
        <v>519</v>
      </c>
      <c r="EH38">
        <v>0</v>
      </c>
      <c r="EI38">
        <f t="shared" si="31"/>
        <v>0</v>
      </c>
      <c r="EK38">
        <v>0</v>
      </c>
      <c r="EL38">
        <f t="shared" si="32"/>
        <v>0</v>
      </c>
      <c r="EN38">
        <v>1</v>
      </c>
      <c r="EO38">
        <f t="shared" si="33"/>
        <v>3.6616623947272067E-2</v>
      </c>
      <c r="EQ38">
        <v>0</v>
      </c>
      <c r="ER38">
        <f t="shared" si="34"/>
        <v>0</v>
      </c>
    </row>
    <row r="39" spans="1:148" x14ac:dyDescent="0.25">
      <c r="G39" t="s">
        <v>315</v>
      </c>
      <c r="H39" s="1" t="s">
        <v>51</v>
      </c>
      <c r="I39">
        <v>61</v>
      </c>
      <c r="J39">
        <f t="shared" si="2"/>
        <v>6.4550264550264549</v>
      </c>
      <c r="M39" t="s">
        <v>315</v>
      </c>
      <c r="N39" s="10" t="s">
        <v>425</v>
      </c>
      <c r="O39">
        <v>25</v>
      </c>
      <c r="P39">
        <f t="shared" si="3"/>
        <v>5.9808612440191391</v>
      </c>
      <c r="R39">
        <v>24</v>
      </c>
      <c r="S39">
        <f t="shared" si="4"/>
        <v>9.7165991902834001</v>
      </c>
      <c r="U39">
        <v>21</v>
      </c>
      <c r="V39">
        <f t="shared" si="0"/>
        <v>7.5539568345323742</v>
      </c>
      <c r="X39">
        <v>14</v>
      </c>
      <c r="Y39">
        <f t="shared" si="5"/>
        <v>13.725490196078432</v>
      </c>
      <c r="AC39" t="s">
        <v>303</v>
      </c>
      <c r="AD39" s="1" t="s">
        <v>540</v>
      </c>
      <c r="AE39">
        <v>1</v>
      </c>
      <c r="AF39">
        <f t="shared" si="6"/>
        <v>0.34129692832764508</v>
      </c>
      <c r="AH39">
        <v>1</v>
      </c>
      <c r="AI39">
        <f t="shared" si="7"/>
        <v>0.5714285714285714</v>
      </c>
      <c r="AK39">
        <v>0</v>
      </c>
      <c r="AL39">
        <f t="shared" si="8"/>
        <v>0</v>
      </c>
      <c r="AN39">
        <v>0</v>
      </c>
      <c r="AO39">
        <f t="shared" si="9"/>
        <v>0</v>
      </c>
      <c r="AS39" t="s">
        <v>303</v>
      </c>
      <c r="AT39" s="25" t="s">
        <v>334</v>
      </c>
      <c r="AU39">
        <v>1</v>
      </c>
      <c r="AV39" s="4">
        <f t="shared" si="10"/>
        <v>0.45871559633027525</v>
      </c>
      <c r="AX39">
        <v>1</v>
      </c>
      <c r="AY39">
        <f t="shared" si="11"/>
        <v>0.41322314049586778</v>
      </c>
      <c r="BA39">
        <v>0</v>
      </c>
      <c r="BB39">
        <f t="shared" si="12"/>
        <v>0</v>
      </c>
      <c r="BD39">
        <v>0</v>
      </c>
      <c r="BE39">
        <f t="shared" si="13"/>
        <v>0</v>
      </c>
      <c r="BI39" s="9" t="s">
        <v>315</v>
      </c>
      <c r="BJ39" s="26" t="s">
        <v>328</v>
      </c>
      <c r="BK39" s="9">
        <v>1</v>
      </c>
      <c r="BL39" s="9">
        <f t="shared" si="14"/>
        <v>4.4444444444444446E-2</v>
      </c>
      <c r="BM39" s="9"/>
      <c r="BN39" s="9">
        <v>0</v>
      </c>
      <c r="BO39" s="9">
        <f t="shared" si="15"/>
        <v>0</v>
      </c>
      <c r="BP39" s="9"/>
      <c r="BQ39" s="9">
        <v>2</v>
      </c>
      <c r="BR39">
        <f t="shared" si="16"/>
        <v>0.05</v>
      </c>
      <c r="BV39" t="s">
        <v>315</v>
      </c>
      <c r="BW39" s="1" t="s">
        <v>277</v>
      </c>
      <c r="BX39">
        <v>2</v>
      </c>
      <c r="BY39">
        <f t="shared" si="17"/>
        <v>0.43478260869565216</v>
      </c>
      <c r="CA39">
        <v>11</v>
      </c>
      <c r="CB39">
        <f t="shared" si="18"/>
        <v>4.0293040293040292</v>
      </c>
      <c r="CD39">
        <v>11</v>
      </c>
      <c r="CE39">
        <f t="shared" si="19"/>
        <v>4.1044776119402986</v>
      </c>
      <c r="CI39" t="s">
        <v>303</v>
      </c>
      <c r="CJ39" t="s">
        <v>333</v>
      </c>
      <c r="CK39">
        <v>0</v>
      </c>
      <c r="CL39">
        <f t="shared" si="20"/>
        <v>0</v>
      </c>
      <c r="CN39">
        <v>2</v>
      </c>
      <c r="CO39">
        <f t="shared" si="21"/>
        <v>0.76045627376425851</v>
      </c>
      <c r="CQ39">
        <v>0</v>
      </c>
      <c r="CR39">
        <f t="shared" si="22"/>
        <v>0</v>
      </c>
      <c r="CV39" t="s">
        <v>315</v>
      </c>
      <c r="CW39" t="s">
        <v>554</v>
      </c>
      <c r="CX39">
        <v>4</v>
      </c>
      <c r="CY39">
        <f t="shared" si="23"/>
        <v>1.03359173126615</v>
      </c>
      <c r="DC39" t="s">
        <v>315</v>
      </c>
      <c r="DD39" t="s">
        <v>16</v>
      </c>
      <c r="DE39">
        <v>3</v>
      </c>
      <c r="DF39">
        <f t="shared" si="24"/>
        <v>0.67873303167420818</v>
      </c>
      <c r="DH39">
        <v>1</v>
      </c>
      <c r="DI39">
        <f t="shared" si="25"/>
        <v>0.25974025974025972</v>
      </c>
      <c r="DK39">
        <v>0</v>
      </c>
      <c r="DL39">
        <f t="shared" si="26"/>
        <v>0</v>
      </c>
      <c r="DP39" t="s">
        <v>303</v>
      </c>
      <c r="DQ39" t="s">
        <v>512</v>
      </c>
      <c r="DR39">
        <v>1</v>
      </c>
      <c r="DS39">
        <f t="shared" si="27"/>
        <v>0.31847133757961787</v>
      </c>
      <c r="DU39">
        <v>0</v>
      </c>
      <c r="DV39">
        <f t="shared" si="28"/>
        <v>0</v>
      </c>
      <c r="DX39">
        <v>0</v>
      </c>
      <c r="DY39">
        <f t="shared" si="29"/>
        <v>0</v>
      </c>
      <c r="EA39">
        <v>0</v>
      </c>
      <c r="EB39">
        <f t="shared" si="30"/>
        <v>0</v>
      </c>
      <c r="EF39" t="s">
        <v>303</v>
      </c>
      <c r="EG39" s="1" t="s">
        <v>521</v>
      </c>
      <c r="EH39">
        <v>0</v>
      </c>
      <c r="EI39">
        <f>EH39/2168*100</f>
        <v>0</v>
      </c>
      <c r="EK39">
        <v>0</v>
      </c>
      <c r="EL39">
        <f>EK39/512*100</f>
        <v>0</v>
      </c>
      <c r="EN39">
        <v>1</v>
      </c>
      <c r="EO39">
        <f>EN39/2731*100</f>
        <v>3.6616623947272067E-2</v>
      </c>
      <c r="EQ39">
        <v>0</v>
      </c>
      <c r="ER39">
        <f>EQ39/237*100</f>
        <v>0</v>
      </c>
    </row>
    <row r="40" spans="1:148" x14ac:dyDescent="0.25">
      <c r="G40" t="s">
        <v>315</v>
      </c>
      <c r="H40" t="s">
        <v>80</v>
      </c>
      <c r="I40">
        <v>8</v>
      </c>
      <c r="J40">
        <f t="shared" si="2"/>
        <v>0.84656084656084662</v>
      </c>
      <c r="M40" t="s">
        <v>315</v>
      </c>
      <c r="N40" s="10" t="s">
        <v>191</v>
      </c>
      <c r="O40">
        <v>3</v>
      </c>
      <c r="P40">
        <f t="shared" si="3"/>
        <v>0.71770334928229662</v>
      </c>
      <c r="R40">
        <v>6</v>
      </c>
      <c r="S40">
        <f t="shared" si="4"/>
        <v>2.42914979757085</v>
      </c>
      <c r="U40">
        <v>0</v>
      </c>
      <c r="V40">
        <f t="shared" si="0"/>
        <v>0</v>
      </c>
      <c r="X40">
        <v>0</v>
      </c>
      <c r="Y40">
        <f t="shared" si="5"/>
        <v>0</v>
      </c>
      <c r="AC40" t="s">
        <v>303</v>
      </c>
      <c r="AD40" s="1" t="s">
        <v>446</v>
      </c>
      <c r="AE40">
        <v>1</v>
      </c>
      <c r="AF40">
        <f t="shared" si="6"/>
        <v>0.34129692832764508</v>
      </c>
      <c r="AH40">
        <v>1</v>
      </c>
      <c r="AI40">
        <f t="shared" si="7"/>
        <v>0.5714285714285714</v>
      </c>
      <c r="AK40">
        <v>0</v>
      </c>
      <c r="AL40">
        <f t="shared" si="8"/>
        <v>0</v>
      </c>
      <c r="AN40">
        <v>0</v>
      </c>
      <c r="AO40">
        <f t="shared" si="9"/>
        <v>0</v>
      </c>
      <c r="AS40" t="s">
        <v>303</v>
      </c>
      <c r="AT40" s="25" t="s">
        <v>613</v>
      </c>
      <c r="AU40">
        <v>2</v>
      </c>
      <c r="AV40" s="4">
        <f t="shared" si="10"/>
        <v>0.91743119266055051</v>
      </c>
      <c r="AX40">
        <v>3</v>
      </c>
      <c r="AY40">
        <f t="shared" si="11"/>
        <v>1.2396694214876034</v>
      </c>
      <c r="BA40">
        <v>3</v>
      </c>
      <c r="BB40">
        <f t="shared" si="12"/>
        <v>2.7777777777777777</v>
      </c>
      <c r="BD40">
        <v>6</v>
      </c>
      <c r="BE40">
        <f t="shared" si="13"/>
        <v>4.7619047619047619</v>
      </c>
      <c r="BI40" s="9" t="s">
        <v>315</v>
      </c>
      <c r="BJ40" s="26" t="s">
        <v>24</v>
      </c>
      <c r="BK40" s="9">
        <v>4</v>
      </c>
      <c r="BL40" s="9">
        <f t="shared" si="14"/>
        <v>0.17777777777777778</v>
      </c>
      <c r="BM40" s="9"/>
      <c r="BN40" s="9">
        <v>9</v>
      </c>
      <c r="BO40" s="9">
        <f t="shared" si="15"/>
        <v>0.31545741324921134</v>
      </c>
      <c r="BP40" s="9"/>
      <c r="BQ40" s="9">
        <v>34</v>
      </c>
      <c r="BR40">
        <f t="shared" si="16"/>
        <v>0.85000000000000009</v>
      </c>
      <c r="BV40" t="s">
        <v>315</v>
      </c>
      <c r="BW40" s="1" t="s">
        <v>149</v>
      </c>
      <c r="BX40">
        <v>27</v>
      </c>
      <c r="BY40">
        <f t="shared" si="17"/>
        <v>5.8695652173913047</v>
      </c>
      <c r="CA40">
        <v>19</v>
      </c>
      <c r="CB40">
        <f t="shared" si="18"/>
        <v>6.9597069597069599</v>
      </c>
      <c r="CD40">
        <v>0</v>
      </c>
      <c r="CE40">
        <f t="shared" si="19"/>
        <v>0</v>
      </c>
      <c r="CI40" t="s">
        <v>303</v>
      </c>
      <c r="CJ40" t="s">
        <v>496</v>
      </c>
      <c r="CK40">
        <v>0</v>
      </c>
      <c r="CL40">
        <f t="shared" si="20"/>
        <v>0</v>
      </c>
      <c r="CN40">
        <v>5</v>
      </c>
      <c r="CO40">
        <f t="shared" si="21"/>
        <v>1.9011406844106464</v>
      </c>
      <c r="CQ40">
        <v>0</v>
      </c>
      <c r="CR40">
        <f t="shared" si="22"/>
        <v>0</v>
      </c>
      <c r="CV40" t="s">
        <v>315</v>
      </c>
      <c r="CW40" t="s">
        <v>513</v>
      </c>
      <c r="CX40">
        <v>1</v>
      </c>
      <c r="CY40">
        <f t="shared" si="23"/>
        <v>0.2583979328165375</v>
      </c>
      <c r="DC40" t="s">
        <v>315</v>
      </c>
      <c r="DD40" s="1" t="s">
        <v>20</v>
      </c>
      <c r="DE40">
        <v>5</v>
      </c>
      <c r="DF40">
        <f t="shared" si="24"/>
        <v>1.1312217194570136</v>
      </c>
      <c r="DH40">
        <v>10</v>
      </c>
      <c r="DI40">
        <f t="shared" si="25"/>
        <v>2.5974025974025974</v>
      </c>
      <c r="DK40">
        <v>2</v>
      </c>
      <c r="DL40">
        <f t="shared" si="26"/>
        <v>0.54644808743169404</v>
      </c>
      <c r="DP40" t="s">
        <v>303</v>
      </c>
      <c r="DQ40" s="1" t="s">
        <v>514</v>
      </c>
      <c r="DR40">
        <v>0</v>
      </c>
      <c r="DS40">
        <f t="shared" si="27"/>
        <v>0</v>
      </c>
      <c r="DU40">
        <v>0</v>
      </c>
      <c r="DV40">
        <f t="shared" si="28"/>
        <v>0</v>
      </c>
      <c r="DX40">
        <v>3</v>
      </c>
      <c r="DY40">
        <f t="shared" si="29"/>
        <v>7.5623897151499878E-2</v>
      </c>
      <c r="EA40">
        <v>4</v>
      </c>
      <c r="EB40">
        <f t="shared" si="30"/>
        <v>0.11841326228537595</v>
      </c>
      <c r="EF40" t="s">
        <v>315</v>
      </c>
      <c r="EG40" s="1" t="s">
        <v>20</v>
      </c>
      <c r="EH40">
        <v>1211</v>
      </c>
      <c r="EI40">
        <f t="shared" si="31"/>
        <v>55.857933579335793</v>
      </c>
      <c r="EK40">
        <v>201</v>
      </c>
      <c r="EL40">
        <f t="shared" si="32"/>
        <v>39.2578125</v>
      </c>
      <c r="EN40">
        <v>1503</v>
      </c>
      <c r="EO40">
        <f t="shared" si="33"/>
        <v>55.034785792749908</v>
      </c>
      <c r="EQ40">
        <v>88</v>
      </c>
      <c r="ER40">
        <f t="shared" si="34"/>
        <v>37.130801687763714</v>
      </c>
    </row>
    <row r="41" spans="1:148" x14ac:dyDescent="0.25">
      <c r="G41" t="s">
        <v>315</v>
      </c>
      <c r="H41" t="s">
        <v>83</v>
      </c>
      <c r="I41">
        <v>83</v>
      </c>
      <c r="J41">
        <f t="shared" si="2"/>
        <v>8.7830687830687832</v>
      </c>
      <c r="M41" t="s">
        <v>315</v>
      </c>
      <c r="N41" s="10" t="s">
        <v>431</v>
      </c>
      <c r="O41">
        <v>12</v>
      </c>
      <c r="P41">
        <f t="shared" si="3"/>
        <v>2.8708133971291865</v>
      </c>
      <c r="R41">
        <v>10</v>
      </c>
      <c r="S41">
        <f t="shared" si="4"/>
        <v>4.048582995951417</v>
      </c>
      <c r="U41">
        <v>0</v>
      </c>
      <c r="V41">
        <f t="shared" si="0"/>
        <v>0</v>
      </c>
      <c r="X41">
        <v>0</v>
      </c>
      <c r="Y41">
        <f t="shared" si="5"/>
        <v>0</v>
      </c>
      <c r="AC41" t="s">
        <v>303</v>
      </c>
      <c r="AD41" s="1" t="s">
        <v>447</v>
      </c>
      <c r="AE41">
        <v>2</v>
      </c>
      <c r="AF41">
        <f t="shared" si="6"/>
        <v>0.68259385665529015</v>
      </c>
      <c r="AH41">
        <v>0</v>
      </c>
      <c r="AI41">
        <f t="shared" si="7"/>
        <v>0</v>
      </c>
      <c r="AK41">
        <v>0</v>
      </c>
      <c r="AL41">
        <f t="shared" si="8"/>
        <v>0</v>
      </c>
      <c r="AN41">
        <v>0</v>
      </c>
      <c r="AO41">
        <f t="shared" si="9"/>
        <v>0</v>
      </c>
      <c r="AS41" t="s">
        <v>303</v>
      </c>
      <c r="AT41" s="25" t="s">
        <v>88</v>
      </c>
      <c r="AU41">
        <v>3</v>
      </c>
      <c r="AV41" s="4">
        <f t="shared" si="10"/>
        <v>1.3761467889908259</v>
      </c>
      <c r="AX41">
        <v>4</v>
      </c>
      <c r="AY41">
        <f t="shared" si="11"/>
        <v>1.6528925619834711</v>
      </c>
      <c r="BA41">
        <v>1</v>
      </c>
      <c r="BB41">
        <f t="shared" si="12"/>
        <v>0.92592592592592582</v>
      </c>
      <c r="BD41">
        <v>11</v>
      </c>
      <c r="BE41">
        <f t="shared" si="13"/>
        <v>8.7301587301587293</v>
      </c>
      <c r="BI41" s="9" t="s">
        <v>315</v>
      </c>
      <c r="BJ41" s="26" t="s">
        <v>38</v>
      </c>
      <c r="BK41" s="9">
        <v>16</v>
      </c>
      <c r="BL41" s="9">
        <f t="shared" si="14"/>
        <v>0.71111111111111114</v>
      </c>
      <c r="BM41" s="9"/>
      <c r="BN41" s="9">
        <v>28</v>
      </c>
      <c r="BO41" s="9">
        <f t="shared" si="15"/>
        <v>0.98142306344199093</v>
      </c>
      <c r="BP41" s="9"/>
      <c r="BQ41" s="9">
        <v>44</v>
      </c>
      <c r="BR41">
        <f t="shared" si="16"/>
        <v>1.0999999999999999</v>
      </c>
      <c r="BV41" t="s">
        <v>315</v>
      </c>
      <c r="BW41" s="1" t="s">
        <v>474</v>
      </c>
      <c r="BX41">
        <v>4</v>
      </c>
      <c r="BY41">
        <f t="shared" si="17"/>
        <v>0.86956521739130432</v>
      </c>
      <c r="CA41">
        <v>0</v>
      </c>
      <c r="CB41">
        <f t="shared" si="18"/>
        <v>0</v>
      </c>
      <c r="CD41">
        <v>4</v>
      </c>
      <c r="CE41">
        <f t="shared" si="19"/>
        <v>1.4925373134328357</v>
      </c>
      <c r="CI41" t="s">
        <v>303</v>
      </c>
      <c r="CJ41" s="1" t="s">
        <v>335</v>
      </c>
      <c r="CK41">
        <v>0</v>
      </c>
      <c r="CL41">
        <f t="shared" si="20"/>
        <v>0</v>
      </c>
      <c r="CN41">
        <v>1</v>
      </c>
      <c r="CO41">
        <f t="shared" si="21"/>
        <v>0.38022813688212925</v>
      </c>
      <c r="CQ41">
        <v>0</v>
      </c>
      <c r="CR41">
        <f t="shared" si="22"/>
        <v>0</v>
      </c>
      <c r="CV41" t="s">
        <v>321</v>
      </c>
      <c r="CW41" t="s">
        <v>202</v>
      </c>
      <c r="CX41">
        <v>4</v>
      </c>
      <c r="CY41">
        <f t="shared" si="23"/>
        <v>1.03359173126615</v>
      </c>
      <c r="DC41" t="s">
        <v>315</v>
      </c>
      <c r="DD41" s="1" t="s">
        <v>476</v>
      </c>
      <c r="DE41">
        <v>0</v>
      </c>
      <c r="DF41">
        <f t="shared" si="24"/>
        <v>0</v>
      </c>
      <c r="DH41">
        <v>4</v>
      </c>
      <c r="DI41">
        <f t="shared" si="25"/>
        <v>1.0389610389610389</v>
      </c>
      <c r="DK41">
        <v>0</v>
      </c>
      <c r="DL41">
        <f t="shared" si="26"/>
        <v>0</v>
      </c>
      <c r="DP41" t="s">
        <v>303</v>
      </c>
      <c r="DQ41" t="s">
        <v>515</v>
      </c>
      <c r="DR41">
        <v>0</v>
      </c>
      <c r="DS41">
        <f t="shared" si="27"/>
        <v>0</v>
      </c>
      <c r="DU41">
        <v>0</v>
      </c>
      <c r="DV41">
        <f t="shared" si="28"/>
        <v>0</v>
      </c>
      <c r="DX41">
        <v>0</v>
      </c>
      <c r="DY41">
        <f t="shared" si="29"/>
        <v>0</v>
      </c>
      <c r="EA41">
        <v>1</v>
      </c>
      <c r="EB41">
        <f t="shared" si="30"/>
        <v>2.9603315571343988E-2</v>
      </c>
      <c r="EF41" t="s">
        <v>315</v>
      </c>
      <c r="EG41" s="1" t="s">
        <v>476</v>
      </c>
      <c r="EH41">
        <v>0</v>
      </c>
      <c r="EI41">
        <f t="shared" si="31"/>
        <v>0</v>
      </c>
      <c r="EK41">
        <v>6</v>
      </c>
      <c r="EL41">
        <f t="shared" si="32"/>
        <v>1.171875</v>
      </c>
      <c r="EN41">
        <v>1</v>
      </c>
      <c r="EO41">
        <f t="shared" si="33"/>
        <v>3.6616623947272067E-2</v>
      </c>
      <c r="EQ41">
        <v>4</v>
      </c>
      <c r="ER41">
        <f t="shared" si="34"/>
        <v>1.6877637130801686</v>
      </c>
    </row>
    <row r="42" spans="1:148" x14ac:dyDescent="0.25">
      <c r="G42" t="s">
        <v>315</v>
      </c>
      <c r="H42" t="s">
        <v>84</v>
      </c>
      <c r="I42">
        <v>55</v>
      </c>
      <c r="J42">
        <f t="shared" si="2"/>
        <v>5.8201058201058196</v>
      </c>
      <c r="M42" t="s">
        <v>315</v>
      </c>
      <c r="N42" s="11" t="s">
        <v>430</v>
      </c>
      <c r="O42">
        <v>8</v>
      </c>
      <c r="P42">
        <f t="shared" si="3"/>
        <v>1.9138755980861244</v>
      </c>
      <c r="R42">
        <v>3</v>
      </c>
      <c r="S42">
        <f t="shared" si="4"/>
        <v>1.214574898785425</v>
      </c>
      <c r="U42">
        <v>0</v>
      </c>
      <c r="V42">
        <f t="shared" si="0"/>
        <v>0</v>
      </c>
      <c r="X42">
        <v>0</v>
      </c>
      <c r="Y42">
        <f t="shared" si="5"/>
        <v>0</v>
      </c>
      <c r="AC42" t="s">
        <v>303</v>
      </c>
      <c r="AD42" s="1" t="s">
        <v>143</v>
      </c>
      <c r="AE42">
        <v>2</v>
      </c>
      <c r="AF42">
        <f t="shared" si="6"/>
        <v>0.68259385665529015</v>
      </c>
      <c r="AH42">
        <v>0</v>
      </c>
      <c r="AI42">
        <f t="shared" si="7"/>
        <v>0</v>
      </c>
      <c r="AK42">
        <v>0</v>
      </c>
      <c r="AL42">
        <f t="shared" si="8"/>
        <v>0</v>
      </c>
      <c r="AN42">
        <v>0</v>
      </c>
      <c r="AO42">
        <f t="shared" si="9"/>
        <v>0</v>
      </c>
      <c r="AS42" t="s">
        <v>303</v>
      </c>
      <c r="AT42" s="25" t="s">
        <v>614</v>
      </c>
      <c r="AU42">
        <v>1</v>
      </c>
      <c r="AV42" s="4">
        <f t="shared" si="10"/>
        <v>0.45871559633027525</v>
      </c>
      <c r="AX42">
        <v>1</v>
      </c>
      <c r="AY42">
        <f t="shared" si="11"/>
        <v>0.41322314049586778</v>
      </c>
      <c r="BA42">
        <v>0</v>
      </c>
      <c r="BB42">
        <f t="shared" si="12"/>
        <v>0</v>
      </c>
      <c r="BD42">
        <v>0</v>
      </c>
      <c r="BE42">
        <f t="shared" si="13"/>
        <v>0</v>
      </c>
      <c r="BI42" s="9" t="s">
        <v>315</v>
      </c>
      <c r="BJ42" s="26" t="s">
        <v>477</v>
      </c>
      <c r="BK42" s="9">
        <v>10</v>
      </c>
      <c r="BL42" s="9">
        <f t="shared" si="14"/>
        <v>0.44444444444444442</v>
      </c>
      <c r="BM42" s="9"/>
      <c r="BN42" s="9">
        <v>3</v>
      </c>
      <c r="BO42" s="9">
        <f t="shared" si="15"/>
        <v>0.10515247108307045</v>
      </c>
      <c r="BP42" s="9"/>
      <c r="BQ42" s="9">
        <v>1</v>
      </c>
      <c r="BR42">
        <f t="shared" si="16"/>
        <v>2.5000000000000001E-2</v>
      </c>
      <c r="BV42" t="s">
        <v>315</v>
      </c>
      <c r="BW42" t="s">
        <v>489</v>
      </c>
      <c r="BX42">
        <v>15</v>
      </c>
      <c r="BY42">
        <f t="shared" si="17"/>
        <v>3.2608695652173911</v>
      </c>
      <c r="CA42">
        <v>10</v>
      </c>
      <c r="CB42">
        <f t="shared" si="18"/>
        <v>3.6630036630036633</v>
      </c>
      <c r="CD42">
        <v>10</v>
      </c>
      <c r="CE42">
        <f t="shared" si="19"/>
        <v>3.7313432835820892</v>
      </c>
      <c r="CI42" t="s">
        <v>303</v>
      </c>
      <c r="CJ42" t="s">
        <v>111</v>
      </c>
      <c r="CK42">
        <v>0</v>
      </c>
      <c r="CL42">
        <f t="shared" si="20"/>
        <v>0</v>
      </c>
      <c r="CN42">
        <v>1</v>
      </c>
      <c r="CO42">
        <f t="shared" si="21"/>
        <v>0.38022813688212925</v>
      </c>
      <c r="CQ42">
        <v>0</v>
      </c>
      <c r="CR42">
        <f t="shared" si="22"/>
        <v>0</v>
      </c>
      <c r="CV42" t="s">
        <v>568</v>
      </c>
      <c r="CW42" s="1" t="s">
        <v>218</v>
      </c>
      <c r="CX42">
        <v>1</v>
      </c>
      <c r="CY42">
        <f t="shared" si="23"/>
        <v>0.2583979328165375</v>
      </c>
      <c r="DC42" t="s">
        <v>315</v>
      </c>
      <c r="DD42" s="1" t="s">
        <v>38</v>
      </c>
      <c r="DE42">
        <v>2</v>
      </c>
      <c r="DF42">
        <f t="shared" si="24"/>
        <v>0.45248868778280549</v>
      </c>
      <c r="DH42">
        <v>1</v>
      </c>
      <c r="DI42">
        <f t="shared" si="25"/>
        <v>0.25974025974025972</v>
      </c>
      <c r="DK42">
        <v>0</v>
      </c>
      <c r="DL42">
        <f t="shared" si="26"/>
        <v>0</v>
      </c>
      <c r="DP42" t="s">
        <v>315</v>
      </c>
      <c r="DQ42" t="s">
        <v>16</v>
      </c>
      <c r="DR42">
        <v>13</v>
      </c>
      <c r="DS42">
        <f t="shared" si="27"/>
        <v>4.1401273885350314</v>
      </c>
      <c r="DU42">
        <v>1</v>
      </c>
      <c r="DV42">
        <f t="shared" si="28"/>
        <v>0.3058103975535168</v>
      </c>
      <c r="DX42">
        <v>21</v>
      </c>
      <c r="DY42">
        <f t="shared" si="29"/>
        <v>0.52936728006049916</v>
      </c>
      <c r="EA42">
        <v>9</v>
      </c>
      <c r="EB42">
        <f t="shared" si="30"/>
        <v>0.26642984014209592</v>
      </c>
      <c r="EF42" t="s">
        <v>315</v>
      </c>
      <c r="EG42" s="1" t="s">
        <v>38</v>
      </c>
      <c r="EH42">
        <v>1</v>
      </c>
      <c r="EI42">
        <f t="shared" si="31"/>
        <v>4.6125461254612546E-2</v>
      </c>
      <c r="EK42">
        <v>0</v>
      </c>
      <c r="EL42">
        <f t="shared" si="32"/>
        <v>0</v>
      </c>
      <c r="EN42">
        <v>0</v>
      </c>
      <c r="EO42">
        <f t="shared" si="33"/>
        <v>0</v>
      </c>
      <c r="EQ42">
        <v>0</v>
      </c>
      <c r="ER42">
        <f t="shared" si="34"/>
        <v>0</v>
      </c>
    </row>
    <row r="43" spans="1:148" x14ac:dyDescent="0.25">
      <c r="G43" t="s">
        <v>315</v>
      </c>
      <c r="H43" s="1" t="s">
        <v>56</v>
      </c>
      <c r="I43">
        <v>3</v>
      </c>
      <c r="J43">
        <f t="shared" si="2"/>
        <v>0.31746031746031744</v>
      </c>
      <c r="M43" t="s">
        <v>315</v>
      </c>
      <c r="N43" s="10" t="s">
        <v>534</v>
      </c>
      <c r="O43">
        <v>1</v>
      </c>
      <c r="P43">
        <f t="shared" si="3"/>
        <v>0.23923444976076555</v>
      </c>
      <c r="R43">
        <v>0</v>
      </c>
      <c r="S43">
        <f t="shared" si="4"/>
        <v>0</v>
      </c>
      <c r="U43">
        <v>0</v>
      </c>
      <c r="V43">
        <f t="shared" si="0"/>
        <v>0</v>
      </c>
      <c r="X43">
        <v>0</v>
      </c>
      <c r="Y43">
        <f t="shared" si="5"/>
        <v>0</v>
      </c>
      <c r="AC43" t="s">
        <v>303</v>
      </c>
      <c r="AD43" s="1" t="s">
        <v>451</v>
      </c>
      <c r="AE43">
        <v>1</v>
      </c>
      <c r="AF43">
        <f t="shared" si="6"/>
        <v>0.34129692832764508</v>
      </c>
      <c r="AH43">
        <v>1</v>
      </c>
      <c r="AI43">
        <f t="shared" si="7"/>
        <v>0.5714285714285714</v>
      </c>
      <c r="AK43">
        <v>0</v>
      </c>
      <c r="AL43">
        <f t="shared" si="8"/>
        <v>0</v>
      </c>
      <c r="AN43">
        <v>0</v>
      </c>
      <c r="AO43">
        <f t="shared" si="9"/>
        <v>0</v>
      </c>
      <c r="AS43" t="s">
        <v>303</v>
      </c>
      <c r="AT43" s="25" t="s">
        <v>617</v>
      </c>
      <c r="AU43">
        <v>1</v>
      </c>
      <c r="AV43" s="4">
        <f t="shared" si="10"/>
        <v>0.45871559633027525</v>
      </c>
      <c r="AX43">
        <v>0</v>
      </c>
      <c r="AY43">
        <f t="shared" si="11"/>
        <v>0</v>
      </c>
      <c r="BA43">
        <v>0</v>
      </c>
      <c r="BB43">
        <f t="shared" si="12"/>
        <v>0</v>
      </c>
      <c r="BD43">
        <v>0</v>
      </c>
      <c r="BE43">
        <f t="shared" si="13"/>
        <v>0</v>
      </c>
      <c r="BI43" s="9" t="s">
        <v>315</v>
      </c>
      <c r="BJ43" s="26" t="s">
        <v>478</v>
      </c>
      <c r="BK43" s="9">
        <v>3</v>
      </c>
      <c r="BL43" s="9">
        <f t="shared" si="14"/>
        <v>0.13333333333333333</v>
      </c>
      <c r="BM43" s="9"/>
      <c r="BN43" s="9">
        <v>5</v>
      </c>
      <c r="BO43" s="9">
        <f t="shared" si="15"/>
        <v>0.1752541184717841</v>
      </c>
      <c r="BP43" s="9"/>
      <c r="BQ43" s="9">
        <v>15</v>
      </c>
      <c r="BR43">
        <f t="shared" si="16"/>
        <v>0.375</v>
      </c>
      <c r="BV43" t="s">
        <v>315</v>
      </c>
      <c r="BW43" s="1" t="s">
        <v>458</v>
      </c>
      <c r="BX43">
        <v>1</v>
      </c>
      <c r="BY43">
        <f t="shared" si="17"/>
        <v>0.21739130434782608</v>
      </c>
      <c r="CA43">
        <v>0</v>
      </c>
      <c r="CB43">
        <f t="shared" si="18"/>
        <v>0</v>
      </c>
      <c r="CD43">
        <v>0</v>
      </c>
      <c r="CE43">
        <f t="shared" si="19"/>
        <v>0</v>
      </c>
      <c r="CI43" t="s">
        <v>303</v>
      </c>
      <c r="CJ43" s="1" t="s">
        <v>68</v>
      </c>
      <c r="CK43">
        <v>0</v>
      </c>
      <c r="CL43">
        <f t="shared" si="20"/>
        <v>0</v>
      </c>
      <c r="CN43">
        <v>0</v>
      </c>
      <c r="CO43">
        <f t="shared" si="21"/>
        <v>0</v>
      </c>
      <c r="CQ43">
        <v>1</v>
      </c>
      <c r="CR43">
        <f t="shared" si="22"/>
        <v>0.34722222222222221</v>
      </c>
      <c r="CV43" t="s">
        <v>568</v>
      </c>
      <c r="CW43" t="s">
        <v>552</v>
      </c>
      <c r="CX43">
        <v>8</v>
      </c>
      <c r="CY43">
        <f t="shared" si="23"/>
        <v>2.0671834625323</v>
      </c>
      <c r="DC43" t="s">
        <v>315</v>
      </c>
      <c r="DD43" s="1" t="s">
        <v>137</v>
      </c>
      <c r="DE43">
        <v>2</v>
      </c>
      <c r="DF43">
        <f t="shared" si="24"/>
        <v>0.45248868778280549</v>
      </c>
      <c r="DH43">
        <v>1</v>
      </c>
      <c r="DI43">
        <f t="shared" si="25"/>
        <v>0.25974025974025972</v>
      </c>
      <c r="DK43">
        <v>0</v>
      </c>
      <c r="DL43">
        <f t="shared" si="26"/>
        <v>0</v>
      </c>
      <c r="DP43" t="s">
        <v>315</v>
      </c>
      <c r="DQ43" s="1" t="s">
        <v>20</v>
      </c>
      <c r="DR43">
        <v>2</v>
      </c>
      <c r="DS43">
        <f t="shared" si="27"/>
        <v>0.63694267515923575</v>
      </c>
      <c r="DU43">
        <v>6</v>
      </c>
      <c r="DV43">
        <f t="shared" si="28"/>
        <v>1.834862385321101</v>
      </c>
      <c r="DX43">
        <v>7</v>
      </c>
      <c r="DY43">
        <f t="shared" si="29"/>
        <v>0.17645576002016636</v>
      </c>
      <c r="EA43">
        <v>2</v>
      </c>
      <c r="EB43">
        <f t="shared" si="30"/>
        <v>5.9206631142687975E-2</v>
      </c>
      <c r="EF43" t="s">
        <v>315</v>
      </c>
      <c r="EG43" s="1" t="s">
        <v>531</v>
      </c>
      <c r="EH43">
        <v>4</v>
      </c>
      <c r="EI43">
        <f t="shared" si="31"/>
        <v>0.18450184501845018</v>
      </c>
      <c r="EK43">
        <v>5</v>
      </c>
      <c r="EL43">
        <f t="shared" si="32"/>
        <v>0.9765625</v>
      </c>
      <c r="EN43">
        <v>0</v>
      </c>
      <c r="EO43">
        <f t="shared" si="33"/>
        <v>0</v>
      </c>
      <c r="EQ43">
        <v>4</v>
      </c>
      <c r="ER43">
        <f t="shared" si="34"/>
        <v>1.6877637130801686</v>
      </c>
    </row>
    <row r="44" spans="1:148" x14ac:dyDescent="0.25">
      <c r="G44" t="s">
        <v>315</v>
      </c>
      <c r="H44" s="1" t="s">
        <v>61</v>
      </c>
      <c r="I44">
        <v>10</v>
      </c>
      <c r="J44">
        <f t="shared" si="2"/>
        <v>1.0582010582010581</v>
      </c>
      <c r="M44" t="s">
        <v>315</v>
      </c>
      <c r="N44" t="s">
        <v>102</v>
      </c>
      <c r="O44">
        <v>4</v>
      </c>
      <c r="P44">
        <f t="shared" si="3"/>
        <v>0.9569377990430622</v>
      </c>
      <c r="R44">
        <v>0</v>
      </c>
      <c r="S44">
        <f t="shared" si="4"/>
        <v>0</v>
      </c>
      <c r="U44">
        <v>0</v>
      </c>
      <c r="V44">
        <f t="shared" si="0"/>
        <v>0</v>
      </c>
      <c r="X44">
        <v>0</v>
      </c>
      <c r="Y44">
        <f t="shared" si="5"/>
        <v>0</v>
      </c>
      <c r="AC44" t="s">
        <v>303</v>
      </c>
      <c r="AD44" s="1" t="s">
        <v>452</v>
      </c>
      <c r="AE44">
        <v>15</v>
      </c>
      <c r="AF44">
        <f t="shared" si="6"/>
        <v>5.1194539249146755</v>
      </c>
      <c r="AH44">
        <v>0</v>
      </c>
      <c r="AI44">
        <f t="shared" si="7"/>
        <v>0</v>
      </c>
      <c r="AK44">
        <v>0</v>
      </c>
      <c r="AL44">
        <f t="shared" si="8"/>
        <v>0</v>
      </c>
      <c r="AN44">
        <v>0</v>
      </c>
      <c r="AO44">
        <f t="shared" si="9"/>
        <v>0</v>
      </c>
      <c r="AS44" t="s">
        <v>303</v>
      </c>
      <c r="AT44" s="25" t="s">
        <v>619</v>
      </c>
      <c r="AU44">
        <v>3</v>
      </c>
      <c r="AV44" s="4">
        <f t="shared" si="10"/>
        <v>1.3761467889908259</v>
      </c>
      <c r="AX44">
        <v>7</v>
      </c>
      <c r="AY44">
        <f t="shared" si="11"/>
        <v>2.8925619834710745</v>
      </c>
      <c r="BA44">
        <v>2</v>
      </c>
      <c r="BB44">
        <f t="shared" si="12"/>
        <v>1.8518518518518516</v>
      </c>
      <c r="BD44">
        <v>0</v>
      </c>
      <c r="BE44">
        <f t="shared" si="13"/>
        <v>0</v>
      </c>
      <c r="BI44" s="9" t="s">
        <v>315</v>
      </c>
      <c r="BJ44" s="26" t="s">
        <v>497</v>
      </c>
      <c r="BK44" s="9">
        <v>17</v>
      </c>
      <c r="BL44" s="9">
        <f t="shared" si="14"/>
        <v>0.75555555555555554</v>
      </c>
      <c r="BM44" s="9"/>
      <c r="BN44" s="9">
        <v>0</v>
      </c>
      <c r="BO44" s="9">
        <f t="shared" si="15"/>
        <v>0</v>
      </c>
      <c r="BP44" s="9"/>
      <c r="BQ44" s="9">
        <v>0</v>
      </c>
      <c r="BR44">
        <f t="shared" si="16"/>
        <v>0</v>
      </c>
      <c r="BV44" t="s">
        <v>315</v>
      </c>
      <c r="BW44" s="1" t="s">
        <v>26</v>
      </c>
      <c r="BX44">
        <v>20</v>
      </c>
      <c r="BY44">
        <f t="shared" si="17"/>
        <v>4.3478260869565215</v>
      </c>
      <c r="CA44">
        <v>0</v>
      </c>
      <c r="CB44">
        <f t="shared" si="18"/>
        <v>0</v>
      </c>
      <c r="CD44">
        <v>0</v>
      </c>
      <c r="CE44">
        <f t="shared" si="19"/>
        <v>0</v>
      </c>
      <c r="CI44" t="s">
        <v>315</v>
      </c>
      <c r="CJ44" t="s">
        <v>16</v>
      </c>
      <c r="CK44">
        <v>10</v>
      </c>
      <c r="CL44">
        <f t="shared" si="20"/>
        <v>5.2356020942408374</v>
      </c>
      <c r="CN44">
        <v>17</v>
      </c>
      <c r="CO44">
        <f t="shared" si="21"/>
        <v>6.4638783269961975</v>
      </c>
      <c r="CQ44">
        <v>29</v>
      </c>
      <c r="CR44">
        <f t="shared" si="22"/>
        <v>10.069444444444445</v>
      </c>
      <c r="CV44" t="s">
        <v>568</v>
      </c>
      <c r="CW44" t="s">
        <v>553</v>
      </c>
      <c r="CX44">
        <v>69</v>
      </c>
      <c r="CY44">
        <f t="shared" si="23"/>
        <v>17.829457364341085</v>
      </c>
      <c r="DC44" t="s">
        <v>315</v>
      </c>
      <c r="DD44" s="1" t="s">
        <v>136</v>
      </c>
      <c r="DE44">
        <v>49</v>
      </c>
      <c r="DF44">
        <f t="shared" si="24"/>
        <v>11.085972850678733</v>
      </c>
      <c r="DH44">
        <v>51</v>
      </c>
      <c r="DI44">
        <f t="shared" si="25"/>
        <v>13.246753246753245</v>
      </c>
      <c r="DK44">
        <v>35</v>
      </c>
      <c r="DL44">
        <f t="shared" si="26"/>
        <v>9.5628415300546443</v>
      </c>
      <c r="DP44" t="s">
        <v>315</v>
      </c>
      <c r="DQ44" s="1" t="s">
        <v>330</v>
      </c>
      <c r="DR44">
        <v>0</v>
      </c>
      <c r="DS44">
        <f t="shared" si="27"/>
        <v>0</v>
      </c>
      <c r="DU44">
        <v>0</v>
      </c>
      <c r="DV44">
        <f t="shared" si="28"/>
        <v>0</v>
      </c>
      <c r="DX44">
        <v>5</v>
      </c>
      <c r="DY44">
        <f t="shared" si="29"/>
        <v>0.12603982858583312</v>
      </c>
      <c r="EA44">
        <v>0</v>
      </c>
      <c r="EB44">
        <f t="shared" si="30"/>
        <v>0</v>
      </c>
      <c r="EF44" t="s">
        <v>315</v>
      </c>
      <c r="EG44" s="1" t="s">
        <v>497</v>
      </c>
      <c r="EH44">
        <v>0</v>
      </c>
      <c r="EI44">
        <f t="shared" si="31"/>
        <v>0</v>
      </c>
      <c r="EK44">
        <v>0</v>
      </c>
      <c r="EL44">
        <f t="shared" si="32"/>
        <v>0</v>
      </c>
      <c r="EN44">
        <v>1</v>
      </c>
      <c r="EO44">
        <f t="shared" si="33"/>
        <v>3.6616623947272067E-2</v>
      </c>
      <c r="EQ44">
        <v>0</v>
      </c>
      <c r="ER44">
        <f t="shared" si="34"/>
        <v>0</v>
      </c>
    </row>
    <row r="45" spans="1:148" x14ac:dyDescent="0.25">
      <c r="G45" t="s">
        <v>315</v>
      </c>
      <c r="H45" s="1" t="s">
        <v>352</v>
      </c>
      <c r="I45">
        <v>25</v>
      </c>
      <c r="J45">
        <f t="shared" si="2"/>
        <v>2.6455026455026456</v>
      </c>
      <c r="M45" t="s">
        <v>315</v>
      </c>
      <c r="N45" t="s">
        <v>203</v>
      </c>
      <c r="O45">
        <v>2</v>
      </c>
      <c r="P45">
        <f t="shared" si="3"/>
        <v>0.4784688995215311</v>
      </c>
      <c r="R45">
        <v>0</v>
      </c>
      <c r="S45">
        <f t="shared" si="4"/>
        <v>0</v>
      </c>
      <c r="U45">
        <v>0</v>
      </c>
      <c r="V45">
        <f t="shared" si="0"/>
        <v>0</v>
      </c>
      <c r="X45">
        <v>0</v>
      </c>
      <c r="Y45">
        <f t="shared" si="5"/>
        <v>0</v>
      </c>
      <c r="AC45" t="s">
        <v>303</v>
      </c>
      <c r="AD45" s="1" t="s">
        <v>139</v>
      </c>
      <c r="AE45">
        <v>4</v>
      </c>
      <c r="AF45">
        <f t="shared" si="6"/>
        <v>1.3651877133105803</v>
      </c>
      <c r="AH45">
        <v>1</v>
      </c>
      <c r="AI45">
        <f t="shared" si="7"/>
        <v>0.5714285714285714</v>
      </c>
      <c r="AK45">
        <v>1</v>
      </c>
      <c r="AL45">
        <f t="shared" si="8"/>
        <v>0.48543689320388345</v>
      </c>
      <c r="AN45">
        <v>0</v>
      </c>
      <c r="AO45">
        <f t="shared" si="9"/>
        <v>0</v>
      </c>
      <c r="AS45" t="s">
        <v>303</v>
      </c>
      <c r="AT45" s="25" t="s">
        <v>375</v>
      </c>
      <c r="AU45">
        <v>2</v>
      </c>
      <c r="AV45" s="4">
        <f t="shared" si="10"/>
        <v>0.91743119266055051</v>
      </c>
      <c r="AX45">
        <v>1</v>
      </c>
      <c r="AY45">
        <f t="shared" si="11"/>
        <v>0.41322314049586778</v>
      </c>
      <c r="BA45">
        <v>0</v>
      </c>
      <c r="BB45">
        <f t="shared" si="12"/>
        <v>0</v>
      </c>
      <c r="BD45">
        <v>0</v>
      </c>
      <c r="BE45">
        <f t="shared" si="13"/>
        <v>0</v>
      </c>
      <c r="BI45" s="9" t="s">
        <v>315</v>
      </c>
      <c r="BJ45" s="26" t="s">
        <v>149</v>
      </c>
      <c r="BK45" s="9">
        <v>674</v>
      </c>
      <c r="BL45" s="9">
        <f t="shared" si="14"/>
        <v>29.955555555555556</v>
      </c>
      <c r="BM45" s="9"/>
      <c r="BN45" s="9">
        <v>22</v>
      </c>
      <c r="BO45" s="9">
        <f t="shared" si="15"/>
        <v>0.77111812127585</v>
      </c>
      <c r="BP45" s="9"/>
      <c r="BQ45" s="9">
        <v>65</v>
      </c>
      <c r="BR45">
        <f t="shared" si="16"/>
        <v>1.625</v>
      </c>
      <c r="BV45" t="s">
        <v>315</v>
      </c>
      <c r="BW45" s="1" t="s">
        <v>486</v>
      </c>
      <c r="BX45">
        <v>4</v>
      </c>
      <c r="BY45">
        <f t="shared" si="17"/>
        <v>0.86956521739130432</v>
      </c>
      <c r="CA45">
        <v>1</v>
      </c>
      <c r="CB45">
        <f t="shared" si="18"/>
        <v>0.36630036630036628</v>
      </c>
      <c r="CD45">
        <v>0</v>
      </c>
      <c r="CE45">
        <f t="shared" si="19"/>
        <v>0</v>
      </c>
      <c r="CI45" t="s">
        <v>315</v>
      </c>
      <c r="CJ45" s="1" t="s">
        <v>20</v>
      </c>
      <c r="CK45">
        <v>10</v>
      </c>
      <c r="CL45">
        <f t="shared" si="20"/>
        <v>5.2356020942408374</v>
      </c>
      <c r="CN45">
        <v>8</v>
      </c>
      <c r="CO45">
        <f t="shared" si="21"/>
        <v>3.041825095057034</v>
      </c>
      <c r="CQ45">
        <v>12</v>
      </c>
      <c r="CR45">
        <f t="shared" si="22"/>
        <v>4.1666666666666661</v>
      </c>
      <c r="CX45">
        <f>SUM(CX8:CX44)</f>
        <v>387</v>
      </c>
      <c r="CY45">
        <f>SUM(CY8:CY44)</f>
        <v>100.00000000000001</v>
      </c>
      <c r="DC45" t="s">
        <v>315</v>
      </c>
      <c r="DD45" s="1" t="s">
        <v>497</v>
      </c>
      <c r="DE45">
        <v>3</v>
      </c>
      <c r="DF45">
        <f t="shared" si="24"/>
        <v>0.67873303167420818</v>
      </c>
      <c r="DH45">
        <v>4</v>
      </c>
      <c r="DI45">
        <f t="shared" si="25"/>
        <v>1.0389610389610389</v>
      </c>
      <c r="DK45">
        <v>4</v>
      </c>
      <c r="DL45">
        <f t="shared" si="26"/>
        <v>1.0928961748633881</v>
      </c>
      <c r="DP45" t="s">
        <v>315</v>
      </c>
      <c r="DQ45" s="1" t="s">
        <v>38</v>
      </c>
      <c r="DR45">
        <v>4</v>
      </c>
      <c r="DS45">
        <f t="shared" si="27"/>
        <v>1.2738853503184715</v>
      </c>
      <c r="DU45">
        <v>2</v>
      </c>
      <c r="DV45">
        <f t="shared" si="28"/>
        <v>0.6116207951070336</v>
      </c>
      <c r="DX45">
        <v>0</v>
      </c>
      <c r="DY45">
        <f t="shared" si="29"/>
        <v>0</v>
      </c>
      <c r="EA45">
        <v>0</v>
      </c>
      <c r="EB45">
        <f t="shared" si="30"/>
        <v>0</v>
      </c>
      <c r="EF45" t="s">
        <v>315</v>
      </c>
      <c r="EG45" s="1" t="s">
        <v>149</v>
      </c>
      <c r="EH45">
        <v>5</v>
      </c>
      <c r="EI45">
        <f t="shared" si="31"/>
        <v>0.23062730627306272</v>
      </c>
      <c r="EK45">
        <v>6</v>
      </c>
      <c r="EL45">
        <f t="shared" si="32"/>
        <v>1.171875</v>
      </c>
      <c r="EN45">
        <v>2</v>
      </c>
      <c r="EO45">
        <f t="shared" si="33"/>
        <v>7.3233247894544135E-2</v>
      </c>
      <c r="EQ45">
        <v>2</v>
      </c>
      <c r="ER45">
        <f t="shared" si="34"/>
        <v>0.8438818565400843</v>
      </c>
    </row>
    <row r="46" spans="1:148" x14ac:dyDescent="0.25">
      <c r="G46" t="s">
        <v>315</v>
      </c>
      <c r="H46" s="1" t="s">
        <v>69</v>
      </c>
      <c r="I46">
        <v>2</v>
      </c>
      <c r="J46">
        <f t="shared" si="2"/>
        <v>0.21164021164021166</v>
      </c>
      <c r="M46" t="s">
        <v>315</v>
      </c>
      <c r="N46" s="1" t="s">
        <v>206</v>
      </c>
      <c r="O46">
        <v>7</v>
      </c>
      <c r="P46">
        <f t="shared" si="3"/>
        <v>1.6746411483253589</v>
      </c>
      <c r="R46">
        <v>0</v>
      </c>
      <c r="S46">
        <f t="shared" si="4"/>
        <v>0</v>
      </c>
      <c r="U46">
        <v>0</v>
      </c>
      <c r="V46">
        <f t="shared" si="0"/>
        <v>0</v>
      </c>
      <c r="X46">
        <v>0</v>
      </c>
      <c r="Y46">
        <f t="shared" si="5"/>
        <v>0</v>
      </c>
      <c r="AC46" t="s">
        <v>303</v>
      </c>
      <c r="AD46" s="1" t="s">
        <v>274</v>
      </c>
      <c r="AE46">
        <v>1</v>
      </c>
      <c r="AF46">
        <f t="shared" si="6"/>
        <v>0.34129692832764508</v>
      </c>
      <c r="AH46">
        <v>4</v>
      </c>
      <c r="AI46">
        <f t="shared" si="7"/>
        <v>2.2857142857142856</v>
      </c>
      <c r="AK46">
        <v>0</v>
      </c>
      <c r="AL46">
        <f t="shared" si="8"/>
        <v>0</v>
      </c>
      <c r="AN46">
        <v>0</v>
      </c>
      <c r="AO46">
        <f t="shared" si="9"/>
        <v>0</v>
      </c>
      <c r="AS46" t="s">
        <v>303</v>
      </c>
      <c r="AT46" s="25" t="s">
        <v>286</v>
      </c>
      <c r="AU46">
        <v>1</v>
      </c>
      <c r="AV46" s="4">
        <f t="shared" si="10"/>
        <v>0.45871559633027525</v>
      </c>
      <c r="AX46">
        <v>0</v>
      </c>
      <c r="AY46">
        <f t="shared" si="11"/>
        <v>0</v>
      </c>
      <c r="BA46">
        <v>0</v>
      </c>
      <c r="BB46">
        <f t="shared" si="12"/>
        <v>0</v>
      </c>
      <c r="BD46">
        <v>0</v>
      </c>
      <c r="BE46">
        <f t="shared" si="13"/>
        <v>0</v>
      </c>
      <c r="BI46" s="9" t="s">
        <v>315</v>
      </c>
      <c r="BJ46" s="26" t="s">
        <v>474</v>
      </c>
      <c r="BK46" s="9">
        <v>3</v>
      </c>
      <c r="BL46" s="9">
        <f t="shared" si="14"/>
        <v>0.13333333333333333</v>
      </c>
      <c r="BM46" s="9"/>
      <c r="BN46" s="9">
        <v>8</v>
      </c>
      <c r="BO46" s="9">
        <f t="shared" si="15"/>
        <v>0.28040658955485454</v>
      </c>
      <c r="BP46" s="9"/>
      <c r="BQ46" s="9">
        <v>13</v>
      </c>
      <c r="BR46">
        <f t="shared" si="16"/>
        <v>0.32500000000000001</v>
      </c>
      <c r="BV46" t="s">
        <v>315</v>
      </c>
      <c r="BW46" s="1" t="s">
        <v>154</v>
      </c>
      <c r="BX46">
        <v>4</v>
      </c>
      <c r="BY46">
        <f t="shared" si="17"/>
        <v>0.86956521739130432</v>
      </c>
      <c r="CA46">
        <v>0</v>
      </c>
      <c r="CB46">
        <f t="shared" si="18"/>
        <v>0</v>
      </c>
      <c r="CD46">
        <v>0</v>
      </c>
      <c r="CE46">
        <f t="shared" si="19"/>
        <v>0</v>
      </c>
      <c r="CI46" t="s">
        <v>315</v>
      </c>
      <c r="CJ46" s="1" t="s">
        <v>476</v>
      </c>
      <c r="CK46">
        <v>18</v>
      </c>
      <c r="CL46">
        <f t="shared" si="20"/>
        <v>9.4240837696335085</v>
      </c>
      <c r="CN46">
        <v>3</v>
      </c>
      <c r="CO46">
        <f t="shared" si="21"/>
        <v>1.1406844106463878</v>
      </c>
      <c r="CQ46">
        <v>22</v>
      </c>
      <c r="CR46">
        <f t="shared" si="22"/>
        <v>7.6388888888888893</v>
      </c>
      <c r="DC46" t="s">
        <v>315</v>
      </c>
      <c r="DD46" s="1" t="s">
        <v>149</v>
      </c>
      <c r="DE46">
        <v>1</v>
      </c>
      <c r="DF46">
        <f t="shared" si="24"/>
        <v>0.22624434389140274</v>
      </c>
      <c r="DH46">
        <v>1</v>
      </c>
      <c r="DI46">
        <f t="shared" si="25"/>
        <v>0.25974025974025972</v>
      </c>
      <c r="DK46">
        <v>1</v>
      </c>
      <c r="DL46">
        <f t="shared" si="26"/>
        <v>0.27322404371584702</v>
      </c>
      <c r="DP46" t="s">
        <v>315</v>
      </c>
      <c r="DQ46" s="1" t="s">
        <v>504</v>
      </c>
      <c r="DR46">
        <v>3</v>
      </c>
      <c r="DS46">
        <f t="shared" si="27"/>
        <v>0.95541401273885351</v>
      </c>
      <c r="DU46">
        <v>0</v>
      </c>
      <c r="DV46">
        <f t="shared" si="28"/>
        <v>0</v>
      </c>
      <c r="DX46">
        <v>0</v>
      </c>
      <c r="DY46">
        <f t="shared" si="29"/>
        <v>0</v>
      </c>
      <c r="EA46">
        <v>4</v>
      </c>
      <c r="EB46">
        <f t="shared" si="30"/>
        <v>0.11841326228537595</v>
      </c>
      <c r="EF46" t="s">
        <v>315</v>
      </c>
      <c r="EG46" s="1" t="s">
        <v>528</v>
      </c>
      <c r="EH46">
        <v>4</v>
      </c>
      <c r="EI46">
        <f t="shared" si="31"/>
        <v>0.18450184501845018</v>
      </c>
      <c r="EK46">
        <v>1</v>
      </c>
      <c r="EL46">
        <f t="shared" si="32"/>
        <v>0.1953125</v>
      </c>
      <c r="EN46">
        <v>1</v>
      </c>
      <c r="EO46">
        <f t="shared" si="33"/>
        <v>3.6616623947272067E-2</v>
      </c>
      <c r="EQ46">
        <v>0</v>
      </c>
      <c r="ER46">
        <f t="shared" si="34"/>
        <v>0</v>
      </c>
    </row>
    <row r="47" spans="1:148" x14ac:dyDescent="0.25">
      <c r="G47" t="s">
        <v>568</v>
      </c>
      <c r="H47" t="s">
        <v>549</v>
      </c>
      <c r="I47">
        <v>16</v>
      </c>
      <c r="J47">
        <f t="shared" si="2"/>
        <v>1.6931216931216932</v>
      </c>
      <c r="M47" t="s">
        <v>315</v>
      </c>
      <c r="N47" s="1" t="s">
        <v>428</v>
      </c>
      <c r="O47">
        <v>1</v>
      </c>
      <c r="P47">
        <f t="shared" si="3"/>
        <v>0.23923444976076555</v>
      </c>
      <c r="R47">
        <v>0</v>
      </c>
      <c r="S47">
        <f t="shared" si="4"/>
        <v>0</v>
      </c>
      <c r="U47">
        <v>0</v>
      </c>
      <c r="V47">
        <f t="shared" si="0"/>
        <v>0</v>
      </c>
      <c r="X47">
        <v>0</v>
      </c>
      <c r="Y47">
        <f t="shared" si="5"/>
        <v>0</v>
      </c>
      <c r="AC47" t="s">
        <v>303</v>
      </c>
      <c r="AD47" s="1" t="s">
        <v>455</v>
      </c>
      <c r="AE47">
        <v>1</v>
      </c>
      <c r="AF47">
        <f t="shared" si="6"/>
        <v>0.34129692832764508</v>
      </c>
      <c r="AH47">
        <v>0</v>
      </c>
      <c r="AI47">
        <f t="shared" si="7"/>
        <v>0</v>
      </c>
      <c r="AK47">
        <v>0</v>
      </c>
      <c r="AL47">
        <f t="shared" si="8"/>
        <v>0</v>
      </c>
      <c r="AN47">
        <v>0</v>
      </c>
      <c r="AO47">
        <f t="shared" si="9"/>
        <v>0</v>
      </c>
      <c r="AS47" t="s">
        <v>303</v>
      </c>
      <c r="AT47" s="25" t="s">
        <v>471</v>
      </c>
      <c r="AU47" s="4">
        <v>2</v>
      </c>
      <c r="AV47" s="4">
        <f t="shared" si="10"/>
        <v>0.91743119266055051</v>
      </c>
      <c r="AW47" s="4"/>
      <c r="AX47">
        <v>0</v>
      </c>
      <c r="AY47">
        <f t="shared" si="11"/>
        <v>0</v>
      </c>
      <c r="BA47">
        <v>0</v>
      </c>
      <c r="BB47">
        <f t="shared" si="12"/>
        <v>0</v>
      </c>
      <c r="BD47">
        <v>0</v>
      </c>
      <c r="BE47">
        <f t="shared" si="13"/>
        <v>0</v>
      </c>
      <c r="BI47" s="9" t="s">
        <v>315</v>
      </c>
      <c r="BJ47" s="9" t="s">
        <v>481</v>
      </c>
      <c r="BK47" s="9">
        <v>7</v>
      </c>
      <c r="BL47" s="9">
        <f t="shared" si="14"/>
        <v>0.31111111111111112</v>
      </c>
      <c r="BM47" s="9"/>
      <c r="BN47" s="9">
        <v>5</v>
      </c>
      <c r="BO47" s="9">
        <f t="shared" si="15"/>
        <v>0.1752541184717841</v>
      </c>
      <c r="BP47" s="9"/>
      <c r="BQ47" s="9">
        <v>6</v>
      </c>
      <c r="BR47">
        <f t="shared" si="16"/>
        <v>0.15</v>
      </c>
      <c r="BV47" t="s">
        <v>321</v>
      </c>
      <c r="BW47" s="1" t="s">
        <v>483</v>
      </c>
      <c r="BX47">
        <v>0</v>
      </c>
      <c r="BY47">
        <f t="shared" si="17"/>
        <v>0</v>
      </c>
      <c r="CA47">
        <v>0</v>
      </c>
      <c r="CB47">
        <f t="shared" si="18"/>
        <v>0</v>
      </c>
      <c r="CD47">
        <v>5</v>
      </c>
      <c r="CE47">
        <f t="shared" si="19"/>
        <v>1.8656716417910446</v>
      </c>
      <c r="CI47" t="s">
        <v>315</v>
      </c>
      <c r="CJ47" s="1" t="s">
        <v>38</v>
      </c>
      <c r="CK47">
        <v>7</v>
      </c>
      <c r="CL47">
        <f t="shared" si="20"/>
        <v>3.664921465968586</v>
      </c>
      <c r="CN47">
        <v>3</v>
      </c>
      <c r="CO47">
        <f t="shared" si="21"/>
        <v>1.1406844106463878</v>
      </c>
      <c r="CQ47">
        <v>0</v>
      </c>
      <c r="CR47">
        <f t="shared" si="22"/>
        <v>0</v>
      </c>
      <c r="DC47" t="s">
        <v>315</v>
      </c>
      <c r="DD47" s="1" t="s">
        <v>474</v>
      </c>
      <c r="DE47">
        <v>0</v>
      </c>
      <c r="DF47">
        <f t="shared" si="24"/>
        <v>0</v>
      </c>
      <c r="DH47">
        <v>2</v>
      </c>
      <c r="DI47">
        <f t="shared" si="25"/>
        <v>0.51948051948051943</v>
      </c>
      <c r="DK47">
        <v>1</v>
      </c>
      <c r="DL47">
        <f t="shared" si="26"/>
        <v>0.27322404371584702</v>
      </c>
      <c r="DP47" t="s">
        <v>315</v>
      </c>
      <c r="DQ47" s="1" t="s">
        <v>136</v>
      </c>
      <c r="DR47">
        <v>3</v>
      </c>
      <c r="DS47">
        <f t="shared" si="27"/>
        <v>0.95541401273885351</v>
      </c>
      <c r="DU47">
        <v>4</v>
      </c>
      <c r="DV47">
        <f t="shared" si="28"/>
        <v>1.2232415902140672</v>
      </c>
      <c r="DX47">
        <v>13</v>
      </c>
      <c r="DY47">
        <f t="shared" si="29"/>
        <v>0.32770355432316611</v>
      </c>
      <c r="EA47">
        <v>8</v>
      </c>
      <c r="EB47">
        <f t="shared" si="30"/>
        <v>0.2368265245707519</v>
      </c>
      <c r="EF47" t="s">
        <v>315</v>
      </c>
      <c r="EG47" s="1" t="s">
        <v>26</v>
      </c>
      <c r="EH47">
        <v>7</v>
      </c>
      <c r="EI47">
        <f t="shared" si="31"/>
        <v>0.32287822878228783</v>
      </c>
      <c r="EK47">
        <v>2</v>
      </c>
      <c r="EL47">
        <f t="shared" si="32"/>
        <v>0.390625</v>
      </c>
      <c r="EN47">
        <v>8</v>
      </c>
      <c r="EO47">
        <f t="shared" si="33"/>
        <v>0.29293299157817654</v>
      </c>
      <c r="EQ47">
        <v>7</v>
      </c>
      <c r="ER47">
        <f t="shared" si="34"/>
        <v>2.9535864978902953</v>
      </c>
    </row>
    <row r="48" spans="1:148" x14ac:dyDescent="0.25">
      <c r="G48" t="s">
        <v>568</v>
      </c>
      <c r="H48" s="1" t="s">
        <v>67</v>
      </c>
      <c r="I48">
        <v>1</v>
      </c>
      <c r="J48">
        <f t="shared" si="2"/>
        <v>0.10582010582010583</v>
      </c>
      <c r="M48" t="s">
        <v>315</v>
      </c>
      <c r="N48" s="2" t="s">
        <v>84</v>
      </c>
      <c r="O48" s="2">
        <v>0</v>
      </c>
      <c r="P48">
        <f t="shared" si="3"/>
        <v>0</v>
      </c>
      <c r="Q48" s="2"/>
      <c r="R48">
        <v>4</v>
      </c>
      <c r="S48">
        <f t="shared" si="4"/>
        <v>1.6194331983805668</v>
      </c>
      <c r="U48">
        <v>0</v>
      </c>
      <c r="V48">
        <f t="shared" si="0"/>
        <v>0</v>
      </c>
      <c r="X48">
        <v>0</v>
      </c>
      <c r="Y48">
        <f t="shared" si="5"/>
        <v>0</v>
      </c>
      <c r="AC48" t="s">
        <v>303</v>
      </c>
      <c r="AD48" s="1" t="s">
        <v>32</v>
      </c>
      <c r="AE48">
        <v>3</v>
      </c>
      <c r="AF48">
        <f t="shared" si="6"/>
        <v>1.0238907849829351</v>
      </c>
      <c r="AH48">
        <v>0</v>
      </c>
      <c r="AI48">
        <f t="shared" si="7"/>
        <v>0</v>
      </c>
      <c r="AK48">
        <v>0</v>
      </c>
      <c r="AL48">
        <f t="shared" si="8"/>
        <v>0</v>
      </c>
      <c r="AN48">
        <v>0</v>
      </c>
      <c r="AO48">
        <f t="shared" si="9"/>
        <v>0</v>
      </c>
      <c r="AS48" t="s">
        <v>303</v>
      </c>
      <c r="AT48" s="25" t="s">
        <v>144</v>
      </c>
      <c r="AU48" s="4">
        <v>1</v>
      </c>
      <c r="AV48" s="4">
        <f t="shared" si="10"/>
        <v>0.45871559633027525</v>
      </c>
      <c r="AX48">
        <v>0</v>
      </c>
      <c r="AY48">
        <f t="shared" si="11"/>
        <v>0</v>
      </c>
      <c r="BA48">
        <v>0</v>
      </c>
      <c r="BB48">
        <f t="shared" si="12"/>
        <v>0</v>
      </c>
      <c r="BD48">
        <v>0</v>
      </c>
      <c r="BE48">
        <f t="shared" si="13"/>
        <v>0</v>
      </c>
      <c r="BI48" s="9" t="s">
        <v>321</v>
      </c>
      <c r="BJ48" s="26" t="s">
        <v>27</v>
      </c>
      <c r="BK48" s="9">
        <v>1</v>
      </c>
      <c r="BL48" s="9">
        <f t="shared" si="14"/>
        <v>4.4444444444444446E-2</v>
      </c>
      <c r="BM48" s="9"/>
      <c r="BN48" s="9">
        <v>0</v>
      </c>
      <c r="BO48" s="9">
        <f t="shared" si="15"/>
        <v>0</v>
      </c>
      <c r="BP48" s="9"/>
      <c r="BQ48" s="9">
        <v>0</v>
      </c>
      <c r="BR48">
        <f t="shared" si="16"/>
        <v>0</v>
      </c>
      <c r="BV48" t="s">
        <v>325</v>
      </c>
      <c r="BW48" t="s">
        <v>325</v>
      </c>
      <c r="BX48">
        <v>0</v>
      </c>
      <c r="BY48">
        <f t="shared" si="17"/>
        <v>0</v>
      </c>
      <c r="CA48">
        <v>0</v>
      </c>
      <c r="CB48">
        <f t="shared" si="18"/>
        <v>0</v>
      </c>
      <c r="CD48">
        <v>1</v>
      </c>
      <c r="CE48">
        <f t="shared" si="19"/>
        <v>0.37313432835820892</v>
      </c>
      <c r="CI48" t="s">
        <v>315</v>
      </c>
      <c r="CJ48" s="1" t="s">
        <v>137</v>
      </c>
      <c r="CK48">
        <v>5</v>
      </c>
      <c r="CL48">
        <f t="shared" si="20"/>
        <v>2.6178010471204187</v>
      </c>
      <c r="CN48">
        <v>0</v>
      </c>
      <c r="CO48">
        <f t="shared" si="21"/>
        <v>0</v>
      </c>
      <c r="CQ48">
        <v>0</v>
      </c>
      <c r="CR48">
        <f t="shared" si="22"/>
        <v>0</v>
      </c>
      <c r="DC48" t="s">
        <v>315</v>
      </c>
      <c r="DD48" s="1" t="s">
        <v>492</v>
      </c>
      <c r="DE48">
        <v>1</v>
      </c>
      <c r="DF48">
        <f t="shared" si="24"/>
        <v>0.22624434389140274</v>
      </c>
      <c r="DH48">
        <v>0</v>
      </c>
      <c r="DI48">
        <f t="shared" si="25"/>
        <v>0</v>
      </c>
      <c r="DK48">
        <v>0</v>
      </c>
      <c r="DL48">
        <f t="shared" si="26"/>
        <v>0</v>
      </c>
      <c r="DP48" t="s">
        <v>315</v>
      </c>
      <c r="DQ48" s="1" t="s">
        <v>505</v>
      </c>
      <c r="DR48">
        <v>3</v>
      </c>
      <c r="DS48">
        <f t="shared" si="27"/>
        <v>0.95541401273885351</v>
      </c>
      <c r="DU48">
        <v>0</v>
      </c>
      <c r="DV48">
        <f t="shared" si="28"/>
        <v>0</v>
      </c>
      <c r="DX48">
        <v>8</v>
      </c>
      <c r="DY48">
        <f t="shared" si="29"/>
        <v>0.20166372573733302</v>
      </c>
      <c r="EA48">
        <v>0</v>
      </c>
      <c r="EB48">
        <f t="shared" si="30"/>
        <v>0</v>
      </c>
      <c r="EF48" t="s">
        <v>315</v>
      </c>
      <c r="EG48" t="s">
        <v>523</v>
      </c>
      <c r="EH48">
        <v>2</v>
      </c>
      <c r="EI48">
        <f t="shared" si="31"/>
        <v>9.2250922509225092E-2</v>
      </c>
      <c r="EK48">
        <v>3</v>
      </c>
      <c r="EL48">
        <f t="shared" si="32"/>
        <v>0.5859375</v>
      </c>
      <c r="EN48">
        <v>0</v>
      </c>
      <c r="EO48">
        <f t="shared" si="33"/>
        <v>0</v>
      </c>
      <c r="EQ48">
        <v>5</v>
      </c>
      <c r="ER48">
        <f t="shared" si="34"/>
        <v>2.109704641350211</v>
      </c>
    </row>
    <row r="49" spans="9:148" x14ac:dyDescent="0.25">
      <c r="I49">
        <f>SUM(I8:I48)</f>
        <v>945</v>
      </c>
      <c r="J49">
        <f>SUM(J8:J48)</f>
        <v>100</v>
      </c>
      <c r="M49" t="s">
        <v>315</v>
      </c>
      <c r="N49" s="2" t="s">
        <v>210</v>
      </c>
      <c r="O49" s="2">
        <v>3</v>
      </c>
      <c r="P49">
        <f t="shared" si="3"/>
        <v>0.71770334928229662</v>
      </c>
      <c r="Q49" s="2"/>
      <c r="R49">
        <v>0</v>
      </c>
      <c r="S49">
        <f t="shared" si="4"/>
        <v>0</v>
      </c>
      <c r="U49">
        <v>0</v>
      </c>
      <c r="V49">
        <f t="shared" si="0"/>
        <v>0</v>
      </c>
      <c r="X49">
        <v>0</v>
      </c>
      <c r="Y49">
        <f t="shared" si="5"/>
        <v>0</v>
      </c>
      <c r="AC49" t="s">
        <v>303</v>
      </c>
      <c r="AD49" s="1" t="s">
        <v>456</v>
      </c>
      <c r="AE49">
        <v>1</v>
      </c>
      <c r="AF49">
        <f t="shared" si="6"/>
        <v>0.34129692832764508</v>
      </c>
      <c r="AH49">
        <v>0</v>
      </c>
      <c r="AI49">
        <f t="shared" si="7"/>
        <v>0</v>
      </c>
      <c r="AK49">
        <v>0</v>
      </c>
      <c r="AL49">
        <f t="shared" si="8"/>
        <v>0</v>
      </c>
      <c r="AN49">
        <v>0</v>
      </c>
      <c r="AO49">
        <f t="shared" si="9"/>
        <v>0</v>
      </c>
      <c r="AS49" t="s">
        <v>303</v>
      </c>
      <c r="AT49" s="25" t="s">
        <v>126</v>
      </c>
      <c r="AU49" s="4">
        <v>1</v>
      </c>
      <c r="AV49" s="4">
        <f t="shared" si="10"/>
        <v>0.45871559633027525</v>
      </c>
      <c r="AW49" s="4"/>
      <c r="AX49">
        <v>0</v>
      </c>
      <c r="AY49">
        <f t="shared" si="11"/>
        <v>0</v>
      </c>
      <c r="BA49">
        <v>0</v>
      </c>
      <c r="BB49">
        <f t="shared" si="12"/>
        <v>0</v>
      </c>
      <c r="BD49">
        <v>0</v>
      </c>
      <c r="BE49">
        <f t="shared" si="13"/>
        <v>0</v>
      </c>
      <c r="BI49" s="9" t="s">
        <v>321</v>
      </c>
      <c r="BJ49" s="26" t="s">
        <v>138</v>
      </c>
      <c r="BK49" s="9">
        <v>3</v>
      </c>
      <c r="BL49" s="9">
        <f t="shared" si="14"/>
        <v>0.13333333333333333</v>
      </c>
      <c r="BM49" s="9"/>
      <c r="BN49" s="9">
        <v>1</v>
      </c>
      <c r="BO49" s="9">
        <f t="shared" si="15"/>
        <v>3.5050823694356817E-2</v>
      </c>
      <c r="BP49" s="9"/>
      <c r="BQ49" s="9">
        <v>0</v>
      </c>
      <c r="BR49">
        <f t="shared" si="16"/>
        <v>0</v>
      </c>
      <c r="BV49" t="s">
        <v>568</v>
      </c>
      <c r="BW49" s="1" t="s">
        <v>218</v>
      </c>
      <c r="BX49">
        <v>0</v>
      </c>
      <c r="BY49">
        <f t="shared" si="17"/>
        <v>0</v>
      </c>
      <c r="CA49">
        <v>1</v>
      </c>
      <c r="CB49">
        <f t="shared" si="18"/>
        <v>0.36630036630036628</v>
      </c>
      <c r="CD49">
        <v>0</v>
      </c>
      <c r="CE49">
        <f t="shared" si="19"/>
        <v>0</v>
      </c>
      <c r="CI49" t="s">
        <v>315</v>
      </c>
      <c r="CJ49" s="1" t="s">
        <v>136</v>
      </c>
      <c r="CK49">
        <v>0</v>
      </c>
      <c r="CL49">
        <f t="shared" si="20"/>
        <v>0</v>
      </c>
      <c r="CN49">
        <v>3</v>
      </c>
      <c r="CO49">
        <f t="shared" si="21"/>
        <v>1.1406844106463878</v>
      </c>
      <c r="CQ49">
        <v>1</v>
      </c>
      <c r="CR49">
        <f t="shared" si="22"/>
        <v>0.34722222222222221</v>
      </c>
      <c r="DC49" t="s">
        <v>315</v>
      </c>
      <c r="DD49" t="s">
        <v>112</v>
      </c>
      <c r="DE49">
        <v>2</v>
      </c>
      <c r="DF49">
        <f t="shared" si="24"/>
        <v>0.45248868778280549</v>
      </c>
      <c r="DH49">
        <v>0</v>
      </c>
      <c r="DI49">
        <f t="shared" si="25"/>
        <v>0</v>
      </c>
      <c r="DK49">
        <v>1</v>
      </c>
      <c r="DL49">
        <f t="shared" si="26"/>
        <v>0.27322404371584702</v>
      </c>
      <c r="DP49" t="s">
        <v>315</v>
      </c>
      <c r="DQ49" s="1" t="s">
        <v>149</v>
      </c>
      <c r="DR49">
        <v>3</v>
      </c>
      <c r="DS49">
        <f t="shared" si="27"/>
        <v>0.95541401273885351</v>
      </c>
      <c r="DU49">
        <v>6</v>
      </c>
      <c r="DV49">
        <f t="shared" si="28"/>
        <v>1.834862385321101</v>
      </c>
      <c r="DX49">
        <v>10</v>
      </c>
      <c r="DY49">
        <f t="shared" si="29"/>
        <v>0.25207965717166625</v>
      </c>
      <c r="EA49">
        <v>0</v>
      </c>
      <c r="EB49">
        <f t="shared" si="30"/>
        <v>0</v>
      </c>
      <c r="EF49" t="s">
        <v>315</v>
      </c>
      <c r="EG49" s="1" t="s">
        <v>179</v>
      </c>
      <c r="EH49">
        <v>875</v>
      </c>
      <c r="EI49">
        <f t="shared" si="31"/>
        <v>40.359778597785976</v>
      </c>
      <c r="EK49">
        <v>180</v>
      </c>
      <c r="EL49">
        <f t="shared" si="32"/>
        <v>35.15625</v>
      </c>
      <c r="EN49">
        <v>1124</v>
      </c>
      <c r="EO49">
        <f t="shared" si="33"/>
        <v>41.157085316733799</v>
      </c>
      <c r="EQ49">
        <v>54</v>
      </c>
      <c r="ER49">
        <f t="shared" si="34"/>
        <v>22.784810126582279</v>
      </c>
    </row>
    <row r="50" spans="9:148" x14ac:dyDescent="0.25">
      <c r="M50" t="s">
        <v>315</v>
      </c>
      <c r="N50" t="s">
        <v>426</v>
      </c>
      <c r="O50">
        <v>1</v>
      </c>
      <c r="P50">
        <f t="shared" si="3"/>
        <v>0.23923444976076555</v>
      </c>
      <c r="R50">
        <v>0</v>
      </c>
      <c r="S50">
        <f t="shared" si="4"/>
        <v>0</v>
      </c>
      <c r="U50">
        <v>3</v>
      </c>
      <c r="V50">
        <f t="shared" si="0"/>
        <v>1.079136690647482</v>
      </c>
      <c r="X50">
        <v>0</v>
      </c>
      <c r="Y50">
        <f t="shared" si="5"/>
        <v>0</v>
      </c>
      <c r="AC50" t="s">
        <v>303</v>
      </c>
      <c r="AD50" s="1" t="s">
        <v>459</v>
      </c>
      <c r="AE50">
        <v>0</v>
      </c>
      <c r="AF50">
        <f t="shared" si="6"/>
        <v>0</v>
      </c>
      <c r="AH50">
        <v>0</v>
      </c>
      <c r="AI50">
        <f t="shared" si="7"/>
        <v>0</v>
      </c>
      <c r="AK50">
        <v>0</v>
      </c>
      <c r="AL50">
        <f t="shared" si="8"/>
        <v>0</v>
      </c>
      <c r="AN50">
        <v>0</v>
      </c>
      <c r="AO50">
        <f t="shared" si="9"/>
        <v>0</v>
      </c>
      <c r="AS50" t="s">
        <v>572</v>
      </c>
      <c r="AT50" s="25" t="s">
        <v>257</v>
      </c>
      <c r="AU50">
        <v>1</v>
      </c>
      <c r="AV50" s="4">
        <f t="shared" si="10"/>
        <v>0.45871559633027525</v>
      </c>
      <c r="AX50">
        <v>3</v>
      </c>
      <c r="AY50">
        <f t="shared" si="11"/>
        <v>1.2396694214876034</v>
      </c>
      <c r="BA50">
        <v>1</v>
      </c>
      <c r="BB50">
        <f t="shared" si="12"/>
        <v>0.92592592592592582</v>
      </c>
      <c r="BD50">
        <v>0</v>
      </c>
      <c r="BE50">
        <f t="shared" si="13"/>
        <v>0</v>
      </c>
      <c r="BI50" s="9" t="s">
        <v>568</v>
      </c>
      <c r="BJ50" s="26" t="s">
        <v>551</v>
      </c>
      <c r="BK50" s="9">
        <v>0</v>
      </c>
      <c r="BL50" s="9">
        <f t="shared" si="14"/>
        <v>0</v>
      </c>
      <c r="BM50" s="9"/>
      <c r="BN50" s="9">
        <v>3</v>
      </c>
      <c r="BO50" s="9">
        <f t="shared" si="15"/>
        <v>0.10515247108307045</v>
      </c>
      <c r="BP50" s="9"/>
      <c r="BQ50" s="9">
        <v>1</v>
      </c>
      <c r="BR50">
        <f t="shared" si="16"/>
        <v>2.5000000000000001E-2</v>
      </c>
      <c r="BV50" t="s">
        <v>569</v>
      </c>
      <c r="BW50" t="s">
        <v>324</v>
      </c>
      <c r="BX50">
        <v>1</v>
      </c>
      <c r="BY50">
        <f t="shared" si="17"/>
        <v>0.21739130434782608</v>
      </c>
      <c r="CA50">
        <v>0</v>
      </c>
      <c r="CB50">
        <f t="shared" si="18"/>
        <v>0</v>
      </c>
      <c r="CD50">
        <v>0</v>
      </c>
      <c r="CE50">
        <f t="shared" si="19"/>
        <v>0</v>
      </c>
      <c r="CI50" t="s">
        <v>315</v>
      </c>
      <c r="CJ50" s="1" t="s">
        <v>490</v>
      </c>
      <c r="CK50">
        <v>0</v>
      </c>
      <c r="CL50">
        <f t="shared" si="20"/>
        <v>0</v>
      </c>
      <c r="CN50">
        <v>3</v>
      </c>
      <c r="CO50">
        <f t="shared" si="21"/>
        <v>1.1406844106463878</v>
      </c>
      <c r="CQ50">
        <v>0</v>
      </c>
      <c r="CR50">
        <f t="shared" si="22"/>
        <v>0</v>
      </c>
      <c r="DC50" t="s">
        <v>321</v>
      </c>
      <c r="DD50" t="s">
        <v>202</v>
      </c>
      <c r="DE50">
        <v>1</v>
      </c>
      <c r="DF50">
        <f t="shared" si="24"/>
        <v>0.22624434389140274</v>
      </c>
      <c r="DH50">
        <v>0</v>
      </c>
      <c r="DI50">
        <f t="shared" si="25"/>
        <v>0</v>
      </c>
      <c r="DK50">
        <v>0</v>
      </c>
      <c r="DL50">
        <f t="shared" si="26"/>
        <v>0</v>
      </c>
      <c r="DP50" t="s">
        <v>315</v>
      </c>
      <c r="DQ50" s="1" t="s">
        <v>474</v>
      </c>
      <c r="DR50">
        <v>2</v>
      </c>
      <c r="DS50">
        <f t="shared" si="27"/>
        <v>0.63694267515923575</v>
      </c>
      <c r="DU50">
        <v>0</v>
      </c>
      <c r="DV50">
        <f t="shared" si="28"/>
        <v>0</v>
      </c>
      <c r="DX50">
        <v>3</v>
      </c>
      <c r="DY50">
        <f t="shared" si="29"/>
        <v>7.5623897151499878E-2</v>
      </c>
      <c r="EA50">
        <v>3</v>
      </c>
      <c r="EB50">
        <f t="shared" si="30"/>
        <v>8.8809946714031973E-2</v>
      </c>
      <c r="EF50" t="s">
        <v>315</v>
      </c>
      <c r="EG50" s="1" t="s">
        <v>403</v>
      </c>
      <c r="EH50">
        <v>0</v>
      </c>
      <c r="EI50">
        <f t="shared" si="31"/>
        <v>0</v>
      </c>
      <c r="EK50">
        <v>2</v>
      </c>
      <c r="EL50">
        <f t="shared" si="32"/>
        <v>0.390625</v>
      </c>
      <c r="EN50">
        <v>1</v>
      </c>
      <c r="EO50">
        <f t="shared" si="33"/>
        <v>3.6616623947272067E-2</v>
      </c>
      <c r="EQ50">
        <v>2</v>
      </c>
      <c r="ER50">
        <f t="shared" si="34"/>
        <v>0.8438818565400843</v>
      </c>
    </row>
    <row r="51" spans="9:148" x14ac:dyDescent="0.25">
      <c r="M51" t="s">
        <v>321</v>
      </c>
      <c r="N51" t="s">
        <v>202</v>
      </c>
      <c r="O51">
        <v>5</v>
      </c>
      <c r="P51">
        <f t="shared" si="3"/>
        <v>1.1961722488038278</v>
      </c>
      <c r="R51">
        <v>5</v>
      </c>
      <c r="S51">
        <f t="shared" si="4"/>
        <v>2.0242914979757085</v>
      </c>
      <c r="U51">
        <v>0</v>
      </c>
      <c r="V51">
        <f t="shared" si="0"/>
        <v>0</v>
      </c>
      <c r="X51">
        <v>0</v>
      </c>
      <c r="Y51">
        <f t="shared" si="5"/>
        <v>0</v>
      </c>
      <c r="AC51" t="s">
        <v>303</v>
      </c>
      <c r="AD51" s="1" t="s">
        <v>45</v>
      </c>
      <c r="AE51">
        <v>0</v>
      </c>
      <c r="AF51">
        <f t="shared" si="6"/>
        <v>0</v>
      </c>
      <c r="AH51">
        <v>0</v>
      </c>
      <c r="AI51">
        <f t="shared" si="7"/>
        <v>0</v>
      </c>
      <c r="AK51">
        <v>0</v>
      </c>
      <c r="AL51">
        <f t="shared" si="8"/>
        <v>0</v>
      </c>
      <c r="AN51">
        <v>0</v>
      </c>
      <c r="AO51">
        <f t="shared" si="9"/>
        <v>0</v>
      </c>
      <c r="AS51" t="s">
        <v>315</v>
      </c>
      <c r="AT51" s="23" t="s">
        <v>585</v>
      </c>
      <c r="AU51">
        <v>8</v>
      </c>
      <c r="AV51" s="4">
        <f t="shared" si="10"/>
        <v>3.669724770642202</v>
      </c>
      <c r="AX51">
        <v>4</v>
      </c>
      <c r="AY51">
        <f t="shared" si="11"/>
        <v>1.6528925619834711</v>
      </c>
      <c r="BA51">
        <v>4</v>
      </c>
      <c r="BB51">
        <f t="shared" si="12"/>
        <v>3.7037037037037033</v>
      </c>
      <c r="BD51">
        <v>1</v>
      </c>
      <c r="BE51">
        <f t="shared" si="13"/>
        <v>0.79365079365079361</v>
      </c>
      <c r="BI51" s="9" t="s">
        <v>569</v>
      </c>
      <c r="BJ51" s="9" t="s">
        <v>278</v>
      </c>
      <c r="BK51" s="9">
        <v>33</v>
      </c>
      <c r="BL51" s="9">
        <f t="shared" si="14"/>
        <v>1.4666666666666666</v>
      </c>
      <c r="BM51" s="9"/>
      <c r="BN51" s="9">
        <v>70</v>
      </c>
      <c r="BO51" s="9">
        <f t="shared" si="15"/>
        <v>2.4535576586049772</v>
      </c>
      <c r="BP51" s="9"/>
      <c r="BQ51" s="9">
        <v>105</v>
      </c>
      <c r="BR51">
        <f t="shared" si="16"/>
        <v>2.625</v>
      </c>
      <c r="BX51">
        <f>SUM(BX8:BX50)</f>
        <v>460</v>
      </c>
      <c r="BY51">
        <f t="shared" ref="BY51:CD51" si="35">SUM(BY8:BY50)</f>
        <v>99.999999999999986</v>
      </c>
      <c r="CA51">
        <f t="shared" si="35"/>
        <v>273</v>
      </c>
      <c r="CB51">
        <f t="shared" si="35"/>
        <v>100</v>
      </c>
      <c r="CD51">
        <f t="shared" si="35"/>
        <v>268</v>
      </c>
      <c r="CE51">
        <f>SUM(CE8:CE50)</f>
        <v>100</v>
      </c>
      <c r="CI51" t="s">
        <v>315</v>
      </c>
      <c r="CJ51" s="1" t="s">
        <v>149</v>
      </c>
      <c r="CK51">
        <v>23</v>
      </c>
      <c r="CL51">
        <f t="shared" si="20"/>
        <v>12.041884816753926</v>
      </c>
      <c r="CN51">
        <v>0</v>
      </c>
      <c r="CO51">
        <f t="shared" si="21"/>
        <v>0</v>
      </c>
      <c r="CQ51">
        <v>7</v>
      </c>
      <c r="CR51">
        <f t="shared" si="22"/>
        <v>2.4305555555555558</v>
      </c>
      <c r="DC51" t="s">
        <v>325</v>
      </c>
      <c r="DD51" t="s">
        <v>325</v>
      </c>
      <c r="DE51">
        <v>0</v>
      </c>
      <c r="DF51">
        <f t="shared" si="24"/>
        <v>0</v>
      </c>
      <c r="DH51">
        <v>0</v>
      </c>
      <c r="DI51">
        <f t="shared" si="25"/>
        <v>0</v>
      </c>
      <c r="DK51">
        <v>8</v>
      </c>
      <c r="DL51">
        <f t="shared" si="26"/>
        <v>2.1857923497267762</v>
      </c>
      <c r="DP51" t="s">
        <v>315</v>
      </c>
      <c r="DQ51" s="1" t="s">
        <v>464</v>
      </c>
      <c r="DR51">
        <v>1</v>
      </c>
      <c r="DS51">
        <f t="shared" si="27"/>
        <v>0.31847133757961787</v>
      </c>
      <c r="DU51">
        <v>0</v>
      </c>
      <c r="DV51">
        <f t="shared" si="28"/>
        <v>0</v>
      </c>
      <c r="DX51">
        <v>0</v>
      </c>
      <c r="DY51">
        <f t="shared" si="29"/>
        <v>0</v>
      </c>
      <c r="EA51">
        <v>0</v>
      </c>
      <c r="EB51">
        <f t="shared" si="30"/>
        <v>0</v>
      </c>
      <c r="EF51" t="s">
        <v>321</v>
      </c>
      <c r="EG51" t="s">
        <v>520</v>
      </c>
      <c r="EH51">
        <v>0</v>
      </c>
      <c r="EI51">
        <f t="shared" si="31"/>
        <v>0</v>
      </c>
      <c r="EK51">
        <v>0</v>
      </c>
      <c r="EL51">
        <f t="shared" si="32"/>
        <v>0</v>
      </c>
      <c r="EN51">
        <v>4</v>
      </c>
      <c r="EO51">
        <f t="shared" si="33"/>
        <v>0.14646649578908827</v>
      </c>
      <c r="EQ51">
        <v>0</v>
      </c>
      <c r="ER51">
        <f t="shared" si="34"/>
        <v>0</v>
      </c>
    </row>
    <row r="52" spans="9:148" x14ac:dyDescent="0.25">
      <c r="M52" t="s">
        <v>321</v>
      </c>
      <c r="N52" s="12" t="s">
        <v>212</v>
      </c>
      <c r="O52">
        <v>0</v>
      </c>
      <c r="P52">
        <f t="shared" si="3"/>
        <v>0</v>
      </c>
      <c r="R52">
        <v>8</v>
      </c>
      <c r="S52">
        <f t="shared" si="4"/>
        <v>3.2388663967611335</v>
      </c>
      <c r="U52">
        <v>0</v>
      </c>
      <c r="V52">
        <f t="shared" si="0"/>
        <v>0</v>
      </c>
      <c r="X52">
        <v>0</v>
      </c>
      <c r="Y52">
        <f t="shared" si="5"/>
        <v>0</v>
      </c>
      <c r="AC52" t="s">
        <v>315</v>
      </c>
      <c r="AD52" s="1" t="s">
        <v>433</v>
      </c>
      <c r="AE52">
        <v>2</v>
      </c>
      <c r="AF52">
        <f t="shared" si="6"/>
        <v>0.68259385665529015</v>
      </c>
      <c r="AH52">
        <v>1</v>
      </c>
      <c r="AI52">
        <f t="shared" si="7"/>
        <v>0.5714285714285714</v>
      </c>
      <c r="AK52">
        <v>2</v>
      </c>
      <c r="AL52">
        <f t="shared" si="8"/>
        <v>0.97087378640776689</v>
      </c>
      <c r="AN52">
        <v>11</v>
      </c>
      <c r="AO52">
        <f t="shared" si="9"/>
        <v>7.0063694267515926</v>
      </c>
      <c r="AS52" t="s">
        <v>315</v>
      </c>
      <c r="AT52" s="25" t="s">
        <v>591</v>
      </c>
      <c r="AU52">
        <v>4</v>
      </c>
      <c r="AV52" s="4">
        <f t="shared" si="10"/>
        <v>1.834862385321101</v>
      </c>
      <c r="AX52">
        <v>7</v>
      </c>
      <c r="AY52">
        <f t="shared" si="11"/>
        <v>2.8925619834710745</v>
      </c>
      <c r="BA52">
        <v>2</v>
      </c>
      <c r="BB52">
        <f t="shared" si="12"/>
        <v>1.8518518518518516</v>
      </c>
      <c r="BD52">
        <v>3</v>
      </c>
      <c r="BE52">
        <f t="shared" si="13"/>
        <v>2.3809523809523809</v>
      </c>
      <c r="BK52">
        <f>SUM(BK8:BK51)</f>
        <v>2250</v>
      </c>
      <c r="BL52">
        <f t="shared" ref="BL52:BQ52" si="36">SUM(BL8:BL51)</f>
        <v>100.00000000000004</v>
      </c>
      <c r="BN52">
        <f t="shared" si="36"/>
        <v>2853</v>
      </c>
      <c r="BO52">
        <f t="shared" si="36"/>
        <v>100</v>
      </c>
      <c r="BQ52">
        <f t="shared" si="36"/>
        <v>4000</v>
      </c>
      <c r="CI52" t="s">
        <v>315</v>
      </c>
      <c r="CJ52" s="1" t="s">
        <v>474</v>
      </c>
      <c r="CK52">
        <v>0</v>
      </c>
      <c r="CL52">
        <f t="shared" si="20"/>
        <v>0</v>
      </c>
      <c r="CN52">
        <v>0</v>
      </c>
      <c r="CO52">
        <f t="shared" si="21"/>
        <v>0</v>
      </c>
      <c r="CQ52">
        <v>2</v>
      </c>
      <c r="CR52">
        <f t="shared" si="22"/>
        <v>0.69444444444444442</v>
      </c>
      <c r="DC52" t="s">
        <v>568</v>
      </c>
      <c r="DD52" s="1" t="s">
        <v>218</v>
      </c>
      <c r="DE52">
        <v>0</v>
      </c>
      <c r="DF52">
        <f t="shared" si="24"/>
        <v>0</v>
      </c>
      <c r="DH52">
        <v>1</v>
      </c>
      <c r="DI52">
        <f t="shared" si="25"/>
        <v>0.25974025974025972</v>
      </c>
      <c r="DK52">
        <v>0</v>
      </c>
      <c r="DL52">
        <f t="shared" si="26"/>
        <v>0</v>
      </c>
      <c r="DP52" t="s">
        <v>315</v>
      </c>
      <c r="DQ52" t="s">
        <v>513</v>
      </c>
      <c r="DR52">
        <v>1</v>
      </c>
      <c r="DS52">
        <f t="shared" si="27"/>
        <v>0.31847133757961787</v>
      </c>
      <c r="DU52">
        <v>0</v>
      </c>
      <c r="DV52">
        <f t="shared" si="28"/>
        <v>0</v>
      </c>
      <c r="DX52">
        <v>0</v>
      </c>
      <c r="DY52">
        <f t="shared" si="29"/>
        <v>0</v>
      </c>
      <c r="EA52">
        <v>0</v>
      </c>
      <c r="EB52">
        <f t="shared" si="30"/>
        <v>0</v>
      </c>
      <c r="EF52" t="s">
        <v>325</v>
      </c>
      <c r="EG52" t="s">
        <v>325</v>
      </c>
      <c r="EH52">
        <v>1</v>
      </c>
      <c r="EI52">
        <f t="shared" si="31"/>
        <v>4.6125461254612546E-2</v>
      </c>
      <c r="EK52">
        <v>2</v>
      </c>
      <c r="EL52">
        <f t="shared" si="32"/>
        <v>0.390625</v>
      </c>
      <c r="EN52">
        <v>2</v>
      </c>
      <c r="EO52">
        <f t="shared" si="33"/>
        <v>7.3233247894544135E-2</v>
      </c>
      <c r="EQ52">
        <v>1</v>
      </c>
      <c r="ER52">
        <f t="shared" si="34"/>
        <v>0.42194092827004215</v>
      </c>
    </row>
    <row r="53" spans="9:148" x14ac:dyDescent="0.25">
      <c r="M53" t="s">
        <v>321</v>
      </c>
      <c r="N53" s="1" t="s">
        <v>121</v>
      </c>
      <c r="O53">
        <v>5</v>
      </c>
      <c r="P53">
        <f t="shared" si="3"/>
        <v>1.1961722488038278</v>
      </c>
      <c r="R53">
        <v>0</v>
      </c>
      <c r="S53">
        <f t="shared" si="4"/>
        <v>0</v>
      </c>
      <c r="U53">
        <v>0</v>
      </c>
      <c r="V53">
        <f t="shared" si="0"/>
        <v>0</v>
      </c>
      <c r="X53">
        <v>0</v>
      </c>
      <c r="Y53">
        <f t="shared" si="5"/>
        <v>0</v>
      </c>
      <c r="AC53" t="s">
        <v>315</v>
      </c>
      <c r="AD53" s="1" t="s">
        <v>434</v>
      </c>
      <c r="AE53">
        <v>4</v>
      </c>
      <c r="AF53">
        <f t="shared" si="6"/>
        <v>1.3651877133105803</v>
      </c>
      <c r="AH53">
        <v>1</v>
      </c>
      <c r="AI53">
        <f t="shared" si="7"/>
        <v>0.5714285714285714</v>
      </c>
      <c r="AK53">
        <v>2</v>
      </c>
      <c r="AL53">
        <f t="shared" si="8"/>
        <v>0.97087378640776689</v>
      </c>
      <c r="AN53">
        <v>0</v>
      </c>
      <c r="AO53">
        <f t="shared" si="9"/>
        <v>0</v>
      </c>
      <c r="AS53" t="s">
        <v>315</v>
      </c>
      <c r="AT53" s="25" t="s">
        <v>593</v>
      </c>
      <c r="AU53">
        <v>3</v>
      </c>
      <c r="AV53" s="4">
        <f t="shared" si="10"/>
        <v>1.3761467889908259</v>
      </c>
      <c r="AX53">
        <v>3</v>
      </c>
      <c r="AY53">
        <f t="shared" si="11"/>
        <v>1.2396694214876034</v>
      </c>
      <c r="BA53">
        <v>3</v>
      </c>
      <c r="BB53">
        <f t="shared" si="12"/>
        <v>2.7777777777777777</v>
      </c>
      <c r="BD53">
        <v>0</v>
      </c>
      <c r="BE53">
        <f t="shared" si="13"/>
        <v>0</v>
      </c>
      <c r="CI53" t="s">
        <v>315</v>
      </c>
      <c r="CJ53" t="s">
        <v>489</v>
      </c>
      <c r="CK53">
        <v>8</v>
      </c>
      <c r="CL53">
        <f t="shared" si="20"/>
        <v>4.1884816753926701</v>
      </c>
      <c r="CN53">
        <v>1</v>
      </c>
      <c r="CO53">
        <f t="shared" si="21"/>
        <v>0.38022813688212925</v>
      </c>
      <c r="CQ53">
        <v>4</v>
      </c>
      <c r="CR53">
        <f t="shared" si="22"/>
        <v>1.3888888888888888</v>
      </c>
      <c r="DC53" t="s">
        <v>568</v>
      </c>
      <c r="DD53" s="1" t="s">
        <v>500</v>
      </c>
      <c r="DE53">
        <v>18</v>
      </c>
      <c r="DF53">
        <f t="shared" si="24"/>
        <v>4.0723981900452486</v>
      </c>
      <c r="DH53">
        <v>0</v>
      </c>
      <c r="DI53">
        <f t="shared" si="25"/>
        <v>0</v>
      </c>
      <c r="DK53">
        <v>5</v>
      </c>
      <c r="DL53">
        <f t="shared" si="26"/>
        <v>1.3661202185792349</v>
      </c>
      <c r="DP53" t="s">
        <v>321</v>
      </c>
      <c r="DQ53" t="s">
        <v>202</v>
      </c>
      <c r="DR53">
        <v>0</v>
      </c>
      <c r="DS53">
        <f t="shared" si="27"/>
        <v>0</v>
      </c>
      <c r="DU53">
        <v>0</v>
      </c>
      <c r="DV53">
        <f t="shared" si="28"/>
        <v>0</v>
      </c>
      <c r="DX53">
        <v>4</v>
      </c>
      <c r="DY53">
        <f t="shared" si="29"/>
        <v>0.10083186286866651</v>
      </c>
      <c r="EA53">
        <v>1</v>
      </c>
      <c r="EB53">
        <f t="shared" si="30"/>
        <v>2.9603315571343988E-2</v>
      </c>
      <c r="EF53" t="s">
        <v>568</v>
      </c>
      <c r="EG53" s="1" t="s">
        <v>218</v>
      </c>
      <c r="EH53">
        <v>0</v>
      </c>
      <c r="EI53">
        <f t="shared" si="31"/>
        <v>0</v>
      </c>
      <c r="EK53">
        <v>0</v>
      </c>
      <c r="EL53">
        <f t="shared" si="32"/>
        <v>0</v>
      </c>
      <c r="EN53">
        <v>2</v>
      </c>
      <c r="EO53">
        <f t="shared" si="33"/>
        <v>7.3233247894544135E-2</v>
      </c>
      <c r="EQ53">
        <v>2</v>
      </c>
      <c r="ER53">
        <f t="shared" si="34"/>
        <v>0.8438818565400843</v>
      </c>
    </row>
    <row r="54" spans="9:148" x14ac:dyDescent="0.25">
      <c r="M54" t="s">
        <v>568</v>
      </c>
      <c r="N54" t="s">
        <v>548</v>
      </c>
      <c r="O54">
        <v>23</v>
      </c>
      <c r="P54">
        <f t="shared" si="3"/>
        <v>5.5023923444976077</v>
      </c>
      <c r="R54">
        <v>0</v>
      </c>
      <c r="S54">
        <f t="shared" si="4"/>
        <v>0</v>
      </c>
      <c r="U54">
        <v>0</v>
      </c>
      <c r="V54">
        <f t="shared" si="0"/>
        <v>0</v>
      </c>
      <c r="X54">
        <v>0</v>
      </c>
      <c r="Y54">
        <f t="shared" si="5"/>
        <v>0</v>
      </c>
      <c r="AC54" t="s">
        <v>315</v>
      </c>
      <c r="AD54" s="1" t="s">
        <v>36</v>
      </c>
      <c r="AE54">
        <v>3</v>
      </c>
      <c r="AF54">
        <f t="shared" si="6"/>
        <v>1.0238907849829351</v>
      </c>
      <c r="AH54">
        <v>2</v>
      </c>
      <c r="AI54">
        <f t="shared" si="7"/>
        <v>1.1428571428571428</v>
      </c>
      <c r="AK54">
        <v>3</v>
      </c>
      <c r="AL54">
        <f t="shared" si="8"/>
        <v>1.4563106796116505</v>
      </c>
      <c r="AN54">
        <v>0</v>
      </c>
      <c r="AO54">
        <f t="shared" si="9"/>
        <v>0</v>
      </c>
      <c r="AS54" t="s">
        <v>315</v>
      </c>
      <c r="AT54" s="25" t="s">
        <v>596</v>
      </c>
      <c r="AU54">
        <v>1</v>
      </c>
      <c r="AV54" s="4">
        <f t="shared" si="10"/>
        <v>0.45871559633027525</v>
      </c>
      <c r="AX54">
        <v>10</v>
      </c>
      <c r="AY54">
        <f t="shared" si="11"/>
        <v>4.1322314049586781</v>
      </c>
      <c r="BA54">
        <v>0</v>
      </c>
      <c r="BB54">
        <f t="shared" si="12"/>
        <v>0</v>
      </c>
      <c r="BD54">
        <v>0</v>
      </c>
      <c r="BE54">
        <f t="shared" si="13"/>
        <v>0</v>
      </c>
      <c r="CI54" t="s">
        <v>315</v>
      </c>
      <c r="CJ54" s="1" t="s">
        <v>492</v>
      </c>
      <c r="CK54">
        <v>0</v>
      </c>
      <c r="CL54">
        <f t="shared" si="20"/>
        <v>0</v>
      </c>
      <c r="CN54">
        <v>1</v>
      </c>
      <c r="CO54">
        <f t="shared" si="21"/>
        <v>0.38022813688212925</v>
      </c>
      <c r="CQ54">
        <v>0</v>
      </c>
      <c r="CR54">
        <f t="shared" si="22"/>
        <v>0</v>
      </c>
      <c r="DC54" t="s">
        <v>568</v>
      </c>
      <c r="DD54" s="1" t="s">
        <v>556</v>
      </c>
      <c r="DE54">
        <v>5</v>
      </c>
      <c r="DF54">
        <f t="shared" si="24"/>
        <v>1.1312217194570136</v>
      </c>
      <c r="DH54">
        <v>11</v>
      </c>
      <c r="DI54">
        <f t="shared" si="25"/>
        <v>2.8571428571428572</v>
      </c>
      <c r="DK54">
        <v>26</v>
      </c>
      <c r="DL54">
        <f t="shared" si="26"/>
        <v>7.1038251366120218</v>
      </c>
      <c r="DP54" t="s">
        <v>568</v>
      </c>
      <c r="DQ54" t="s">
        <v>507</v>
      </c>
      <c r="DR54">
        <v>9</v>
      </c>
      <c r="DS54">
        <f t="shared" si="27"/>
        <v>2.8662420382165608</v>
      </c>
      <c r="DU54">
        <v>6</v>
      </c>
      <c r="DV54">
        <f t="shared" si="28"/>
        <v>1.834862385321101</v>
      </c>
      <c r="DX54">
        <v>5</v>
      </c>
      <c r="DY54">
        <f t="shared" si="29"/>
        <v>0.12603982858583312</v>
      </c>
      <c r="EA54">
        <v>5</v>
      </c>
      <c r="EB54">
        <f t="shared" si="30"/>
        <v>0.14801657785671996</v>
      </c>
      <c r="EF54" t="s">
        <v>568</v>
      </c>
      <c r="EG54" t="s">
        <v>532</v>
      </c>
      <c r="EH54">
        <v>0</v>
      </c>
      <c r="EI54">
        <f t="shared" si="31"/>
        <v>0</v>
      </c>
      <c r="EK54">
        <v>0</v>
      </c>
      <c r="EL54">
        <f t="shared" si="32"/>
        <v>0</v>
      </c>
      <c r="EN54">
        <v>1</v>
      </c>
      <c r="EO54">
        <f t="shared" si="33"/>
        <v>3.6616623947272067E-2</v>
      </c>
      <c r="EQ54">
        <v>0</v>
      </c>
      <c r="ER54">
        <f t="shared" si="34"/>
        <v>0</v>
      </c>
    </row>
    <row r="55" spans="9:148" x14ac:dyDescent="0.25">
      <c r="M55" t="s">
        <v>568</v>
      </c>
      <c r="N55" s="1" t="s">
        <v>218</v>
      </c>
      <c r="O55">
        <v>1</v>
      </c>
      <c r="P55">
        <f t="shared" si="3"/>
        <v>0.23923444976076555</v>
      </c>
      <c r="R55">
        <v>0</v>
      </c>
      <c r="S55">
        <f t="shared" si="4"/>
        <v>0</v>
      </c>
      <c r="U55">
        <v>0</v>
      </c>
      <c r="V55">
        <f t="shared" si="0"/>
        <v>0</v>
      </c>
      <c r="X55">
        <v>0</v>
      </c>
      <c r="Y55">
        <f t="shared" si="5"/>
        <v>0</v>
      </c>
      <c r="AC55" t="s">
        <v>315</v>
      </c>
      <c r="AD55" s="1" t="s">
        <v>436</v>
      </c>
      <c r="AE55">
        <v>1</v>
      </c>
      <c r="AF55">
        <f t="shared" si="6"/>
        <v>0.34129692832764508</v>
      </c>
      <c r="AH55">
        <v>0</v>
      </c>
      <c r="AI55">
        <f t="shared" si="7"/>
        <v>0</v>
      </c>
      <c r="AK55">
        <v>0</v>
      </c>
      <c r="AL55">
        <f t="shared" si="8"/>
        <v>0</v>
      </c>
      <c r="AN55">
        <v>0</v>
      </c>
      <c r="AO55">
        <f t="shared" si="9"/>
        <v>0</v>
      </c>
      <c r="AS55" t="s">
        <v>315</v>
      </c>
      <c r="AT55" s="25" t="s">
        <v>598</v>
      </c>
      <c r="AU55">
        <v>3</v>
      </c>
      <c r="AV55" s="4">
        <f t="shared" si="10"/>
        <v>1.3761467889908259</v>
      </c>
      <c r="AX55">
        <v>2</v>
      </c>
      <c r="AY55">
        <f t="shared" si="11"/>
        <v>0.82644628099173556</v>
      </c>
      <c r="BA55">
        <v>0</v>
      </c>
      <c r="BB55">
        <f t="shared" si="12"/>
        <v>0</v>
      </c>
      <c r="BD55">
        <v>0</v>
      </c>
      <c r="BE55">
        <f t="shared" si="13"/>
        <v>0</v>
      </c>
      <c r="CI55" t="s">
        <v>315</v>
      </c>
      <c r="CJ55" s="1" t="s">
        <v>26</v>
      </c>
      <c r="CK55">
        <v>2</v>
      </c>
      <c r="CL55">
        <f t="shared" si="20"/>
        <v>1.0471204188481675</v>
      </c>
      <c r="CN55">
        <v>0</v>
      </c>
      <c r="CO55">
        <f t="shared" si="21"/>
        <v>0</v>
      </c>
      <c r="CQ55">
        <v>0</v>
      </c>
      <c r="CR55">
        <f t="shared" si="22"/>
        <v>0</v>
      </c>
      <c r="DC55" t="s">
        <v>568</v>
      </c>
      <c r="DD55" t="s">
        <v>498</v>
      </c>
      <c r="DE55">
        <v>2</v>
      </c>
      <c r="DF55">
        <f t="shared" si="24"/>
        <v>0.45248868778280549</v>
      </c>
      <c r="DH55">
        <v>0</v>
      </c>
      <c r="DI55">
        <f t="shared" si="25"/>
        <v>0</v>
      </c>
      <c r="DK55">
        <v>0</v>
      </c>
      <c r="DL55">
        <f t="shared" si="26"/>
        <v>0</v>
      </c>
      <c r="DP55" t="s">
        <v>568</v>
      </c>
      <c r="DQ55" t="s">
        <v>548</v>
      </c>
      <c r="DR55">
        <v>77</v>
      </c>
      <c r="DS55">
        <f t="shared" si="27"/>
        <v>24.522292993630572</v>
      </c>
      <c r="DU55">
        <v>70</v>
      </c>
      <c r="DV55">
        <f t="shared" si="28"/>
        <v>21.406727828746178</v>
      </c>
      <c r="DX55">
        <v>1250</v>
      </c>
      <c r="DY55">
        <f t="shared" si="29"/>
        <v>31.509957146458277</v>
      </c>
      <c r="EA55">
        <v>1120</v>
      </c>
      <c r="EB55">
        <f t="shared" si="30"/>
        <v>33.15571343990527</v>
      </c>
      <c r="EF55" t="s">
        <v>568</v>
      </c>
      <c r="EG55" t="s">
        <v>525</v>
      </c>
      <c r="EH55">
        <v>1</v>
      </c>
      <c r="EI55">
        <f t="shared" si="31"/>
        <v>4.6125461254612546E-2</v>
      </c>
      <c r="EK55">
        <v>0</v>
      </c>
      <c r="EL55">
        <f t="shared" si="32"/>
        <v>0</v>
      </c>
      <c r="EN55">
        <v>0</v>
      </c>
      <c r="EO55">
        <f t="shared" si="33"/>
        <v>0</v>
      </c>
      <c r="EQ55">
        <v>0</v>
      </c>
      <c r="ER55">
        <f t="shared" si="34"/>
        <v>0</v>
      </c>
    </row>
    <row r="56" spans="9:148" x14ac:dyDescent="0.25">
      <c r="O56">
        <f t="shared" ref="O56:U56" si="37">SUM(O8:O55)</f>
        <v>418</v>
      </c>
      <c r="P56">
        <f t="shared" si="37"/>
        <v>100.00000000000004</v>
      </c>
      <c r="R56">
        <f t="shared" si="37"/>
        <v>247</v>
      </c>
      <c r="S56">
        <f t="shared" si="37"/>
        <v>100</v>
      </c>
      <c r="U56">
        <f t="shared" si="37"/>
        <v>278</v>
      </c>
      <c r="X56">
        <f>SUM(X8:X55)</f>
        <v>102</v>
      </c>
      <c r="Y56">
        <f>SUM(Y8:Y55)</f>
        <v>100</v>
      </c>
      <c r="AC56" t="s">
        <v>315</v>
      </c>
      <c r="AD56" s="1" t="s">
        <v>26</v>
      </c>
      <c r="AE56">
        <v>3</v>
      </c>
      <c r="AF56">
        <f t="shared" si="6"/>
        <v>1.0238907849829351</v>
      </c>
      <c r="AH56">
        <v>2</v>
      </c>
      <c r="AI56">
        <f t="shared" si="7"/>
        <v>1.1428571428571428</v>
      </c>
      <c r="AK56">
        <v>0</v>
      </c>
      <c r="AL56">
        <f t="shared" si="8"/>
        <v>0</v>
      </c>
      <c r="AN56">
        <v>0</v>
      </c>
      <c r="AO56">
        <f t="shared" si="9"/>
        <v>0</v>
      </c>
      <c r="AS56" t="s">
        <v>315</v>
      </c>
      <c r="AT56" s="25" t="s">
        <v>605</v>
      </c>
      <c r="AU56">
        <v>3</v>
      </c>
      <c r="AV56" s="4">
        <f t="shared" si="10"/>
        <v>1.3761467889908259</v>
      </c>
      <c r="AX56">
        <v>13</v>
      </c>
      <c r="AY56">
        <f t="shared" si="11"/>
        <v>5.3719008264462813</v>
      </c>
      <c r="BA56">
        <v>6</v>
      </c>
      <c r="BB56">
        <f t="shared" si="12"/>
        <v>5.5555555555555554</v>
      </c>
      <c r="BD56">
        <v>10</v>
      </c>
      <c r="BE56">
        <f t="shared" si="13"/>
        <v>7.9365079365079358</v>
      </c>
      <c r="CI56" t="s">
        <v>315</v>
      </c>
      <c r="CJ56" s="1" t="s">
        <v>328</v>
      </c>
      <c r="CK56">
        <v>1</v>
      </c>
      <c r="CL56">
        <f t="shared" si="20"/>
        <v>0.52356020942408377</v>
      </c>
      <c r="CN56">
        <v>0</v>
      </c>
      <c r="CO56">
        <f t="shared" si="21"/>
        <v>0</v>
      </c>
      <c r="CQ56">
        <v>1</v>
      </c>
      <c r="CR56">
        <f t="shared" si="22"/>
        <v>0.34722222222222221</v>
      </c>
      <c r="DE56">
        <f>SUM(DE8:DE55)</f>
        <v>442</v>
      </c>
      <c r="DF56">
        <f t="shared" ref="DF56:DK56" si="38">SUM(DF8:DF55)</f>
        <v>100.00000000000006</v>
      </c>
      <c r="DH56">
        <f t="shared" si="38"/>
        <v>385</v>
      </c>
      <c r="DI56">
        <f t="shared" si="38"/>
        <v>99.999999999999943</v>
      </c>
      <c r="DK56">
        <f t="shared" si="38"/>
        <v>366</v>
      </c>
      <c r="DP56" t="s">
        <v>568</v>
      </c>
      <c r="DQ56" s="1" t="s">
        <v>510</v>
      </c>
      <c r="DR56">
        <v>1</v>
      </c>
      <c r="DS56">
        <f t="shared" si="27"/>
        <v>0.31847133757961787</v>
      </c>
      <c r="DU56">
        <v>0</v>
      </c>
      <c r="DV56">
        <f t="shared" si="28"/>
        <v>0</v>
      </c>
      <c r="DX56">
        <v>0</v>
      </c>
      <c r="DY56">
        <f t="shared" si="29"/>
        <v>0</v>
      </c>
      <c r="EA56">
        <v>0</v>
      </c>
      <c r="EB56">
        <f t="shared" si="30"/>
        <v>0</v>
      </c>
      <c r="EF56" t="s">
        <v>568</v>
      </c>
      <c r="EG56" t="s">
        <v>524</v>
      </c>
      <c r="EH56">
        <v>3</v>
      </c>
      <c r="EI56">
        <f t="shared" si="31"/>
        <v>0.13837638376383762</v>
      </c>
      <c r="EK56">
        <v>0</v>
      </c>
      <c r="EL56">
        <f t="shared" si="32"/>
        <v>0</v>
      </c>
      <c r="EN56">
        <v>2</v>
      </c>
      <c r="EO56">
        <f t="shared" si="33"/>
        <v>7.3233247894544135E-2</v>
      </c>
      <c r="EQ56">
        <v>0</v>
      </c>
      <c r="ER56">
        <f t="shared" si="34"/>
        <v>0</v>
      </c>
    </row>
    <row r="57" spans="9:148" x14ac:dyDescent="0.25">
      <c r="AC57" t="s">
        <v>315</v>
      </c>
      <c r="AD57" s="1" t="s">
        <v>41</v>
      </c>
      <c r="AE57">
        <v>1</v>
      </c>
      <c r="AF57">
        <f t="shared" si="6"/>
        <v>0.34129692832764508</v>
      </c>
      <c r="AH57">
        <v>2</v>
      </c>
      <c r="AI57">
        <f t="shared" si="7"/>
        <v>1.1428571428571428</v>
      </c>
      <c r="AK57">
        <v>1</v>
      </c>
      <c r="AL57">
        <f t="shared" si="8"/>
        <v>0.48543689320388345</v>
      </c>
      <c r="AN57">
        <v>3</v>
      </c>
      <c r="AO57">
        <f t="shared" si="9"/>
        <v>1.910828025477707</v>
      </c>
      <c r="AS57" t="s">
        <v>315</v>
      </c>
      <c r="AT57" s="25" t="s">
        <v>464</v>
      </c>
      <c r="AU57">
        <v>1</v>
      </c>
      <c r="AV57" s="4">
        <f t="shared" si="10"/>
        <v>0.45871559633027525</v>
      </c>
      <c r="AX57">
        <v>0</v>
      </c>
      <c r="AY57">
        <f t="shared" si="11"/>
        <v>0</v>
      </c>
      <c r="BA57">
        <v>0</v>
      </c>
      <c r="BB57">
        <f t="shared" si="12"/>
        <v>0</v>
      </c>
      <c r="BD57">
        <v>0</v>
      </c>
      <c r="BE57">
        <f t="shared" si="13"/>
        <v>0</v>
      </c>
      <c r="CI57" t="s">
        <v>315</v>
      </c>
      <c r="CJ57" s="1" t="s">
        <v>130</v>
      </c>
      <c r="CK57">
        <v>0</v>
      </c>
      <c r="CL57">
        <f t="shared" si="20"/>
        <v>0</v>
      </c>
      <c r="CN57">
        <v>2</v>
      </c>
      <c r="CO57">
        <f t="shared" si="21"/>
        <v>0.76045627376425851</v>
      </c>
      <c r="CQ57">
        <v>0</v>
      </c>
      <c r="CR57">
        <f t="shared" si="22"/>
        <v>0</v>
      </c>
      <c r="DR57">
        <f>SUM(DR8:DR56)</f>
        <v>314</v>
      </c>
      <c r="DS57">
        <f t="shared" ref="DS57:EA57" si="39">SUM(DS8:DS56)</f>
        <v>100</v>
      </c>
      <c r="DU57">
        <f t="shared" si="39"/>
        <v>327</v>
      </c>
      <c r="DV57">
        <f t="shared" si="39"/>
        <v>99.999999999999972</v>
      </c>
      <c r="DX57">
        <f t="shared" si="39"/>
        <v>3967</v>
      </c>
      <c r="DY57">
        <f t="shared" si="39"/>
        <v>100</v>
      </c>
      <c r="EA57">
        <f t="shared" si="39"/>
        <v>3378</v>
      </c>
      <c r="EB57">
        <f>EA57/3378*100</f>
        <v>100</v>
      </c>
      <c r="EF57" t="s">
        <v>568</v>
      </c>
      <c r="EG57" s="1" t="s">
        <v>518</v>
      </c>
      <c r="EH57">
        <v>0</v>
      </c>
      <c r="EI57">
        <f t="shared" si="31"/>
        <v>0</v>
      </c>
      <c r="EK57">
        <v>0</v>
      </c>
      <c r="EL57">
        <f t="shared" si="32"/>
        <v>0</v>
      </c>
      <c r="EN57">
        <v>0</v>
      </c>
      <c r="EO57">
        <f t="shared" si="33"/>
        <v>0</v>
      </c>
      <c r="EQ57">
        <v>1</v>
      </c>
      <c r="ER57">
        <f t="shared" si="34"/>
        <v>0.42194092827004215</v>
      </c>
    </row>
    <row r="58" spans="9:148" x14ac:dyDescent="0.25">
      <c r="AC58" t="s">
        <v>315</v>
      </c>
      <c r="AD58" s="1" t="s">
        <v>438</v>
      </c>
      <c r="AE58">
        <v>1</v>
      </c>
      <c r="AF58">
        <f t="shared" si="6"/>
        <v>0.34129692832764508</v>
      </c>
      <c r="AH58">
        <v>3</v>
      </c>
      <c r="AI58">
        <f t="shared" si="7"/>
        <v>1.7142857142857144</v>
      </c>
      <c r="AK58">
        <v>0</v>
      </c>
      <c r="AL58">
        <f t="shared" si="8"/>
        <v>0</v>
      </c>
      <c r="AN58">
        <v>0</v>
      </c>
      <c r="AO58">
        <f t="shared" si="9"/>
        <v>0</v>
      </c>
      <c r="AS58" t="s">
        <v>315</v>
      </c>
      <c r="AT58" s="25" t="s">
        <v>611</v>
      </c>
      <c r="AU58">
        <v>1</v>
      </c>
      <c r="AV58" s="4">
        <f t="shared" si="10"/>
        <v>0.45871559633027525</v>
      </c>
      <c r="AX58">
        <v>1</v>
      </c>
      <c r="AY58">
        <f t="shared" si="11"/>
        <v>0.41322314049586778</v>
      </c>
      <c r="BA58">
        <v>4</v>
      </c>
      <c r="BB58">
        <f t="shared" si="12"/>
        <v>3.7037037037037033</v>
      </c>
      <c r="BD58">
        <v>0</v>
      </c>
      <c r="BE58">
        <f t="shared" si="13"/>
        <v>0</v>
      </c>
      <c r="CI58" t="s">
        <v>315</v>
      </c>
      <c r="CJ58" t="s">
        <v>112</v>
      </c>
      <c r="CK58">
        <v>0</v>
      </c>
      <c r="CL58">
        <f t="shared" si="20"/>
        <v>0</v>
      </c>
      <c r="CN58">
        <v>0</v>
      </c>
      <c r="CO58">
        <f t="shared" si="21"/>
        <v>0</v>
      </c>
      <c r="CQ58">
        <v>3</v>
      </c>
      <c r="CR58">
        <f t="shared" si="22"/>
        <v>1.0416666666666665</v>
      </c>
      <c r="EH58">
        <f t="shared" ref="EH58:EQ58" si="40">SUM(EH8:EH57)</f>
        <v>2168</v>
      </c>
      <c r="EI58">
        <f t="shared" si="40"/>
        <v>100.00000000000001</v>
      </c>
      <c r="EK58">
        <f t="shared" si="40"/>
        <v>512</v>
      </c>
      <c r="EL58">
        <f t="shared" si="40"/>
        <v>100</v>
      </c>
      <c r="EN58">
        <f t="shared" si="40"/>
        <v>2731</v>
      </c>
      <c r="EO58">
        <f t="shared" si="40"/>
        <v>100</v>
      </c>
      <c r="EQ58">
        <f t="shared" si="40"/>
        <v>237</v>
      </c>
    </row>
    <row r="59" spans="9:148" x14ac:dyDescent="0.25">
      <c r="AC59" t="s">
        <v>315</v>
      </c>
      <c r="AD59" s="1" t="s">
        <v>136</v>
      </c>
      <c r="AE59">
        <v>1</v>
      </c>
      <c r="AF59">
        <f t="shared" si="6"/>
        <v>0.34129692832764508</v>
      </c>
      <c r="AH59">
        <v>1</v>
      </c>
      <c r="AI59">
        <f t="shared" si="7"/>
        <v>0.5714285714285714</v>
      </c>
      <c r="AK59">
        <v>1</v>
      </c>
      <c r="AL59">
        <f t="shared" si="8"/>
        <v>0.48543689320388345</v>
      </c>
      <c r="AN59">
        <v>1</v>
      </c>
      <c r="AO59">
        <f t="shared" si="9"/>
        <v>0.63694267515923575</v>
      </c>
      <c r="AS59" t="s">
        <v>315</v>
      </c>
      <c r="AT59" s="25" t="s">
        <v>612</v>
      </c>
      <c r="AU59">
        <v>3</v>
      </c>
      <c r="AV59" s="4">
        <f t="shared" si="10"/>
        <v>1.3761467889908259</v>
      </c>
      <c r="AX59">
        <v>4</v>
      </c>
      <c r="AY59">
        <f t="shared" si="11"/>
        <v>1.6528925619834711</v>
      </c>
      <c r="BA59">
        <v>8</v>
      </c>
      <c r="BB59">
        <f t="shared" si="12"/>
        <v>7.4074074074074066</v>
      </c>
      <c r="BD59">
        <v>0</v>
      </c>
      <c r="BE59">
        <f t="shared" si="13"/>
        <v>0</v>
      </c>
      <c r="CI59" t="s">
        <v>321</v>
      </c>
      <c r="CJ59" s="1" t="s">
        <v>404</v>
      </c>
      <c r="CK59">
        <v>0</v>
      </c>
      <c r="CL59">
        <f t="shared" si="20"/>
        <v>0</v>
      </c>
      <c r="CN59">
        <v>10</v>
      </c>
      <c r="CO59">
        <f t="shared" si="21"/>
        <v>3.8022813688212929</v>
      </c>
      <c r="CQ59">
        <v>0</v>
      </c>
      <c r="CR59">
        <f t="shared" si="22"/>
        <v>0</v>
      </c>
    </row>
    <row r="60" spans="9:148" x14ac:dyDescent="0.25">
      <c r="AC60" t="s">
        <v>315</v>
      </c>
      <c r="AD60" s="1" t="s">
        <v>300</v>
      </c>
      <c r="AE60">
        <v>1</v>
      </c>
      <c r="AF60">
        <f t="shared" si="6"/>
        <v>0.34129692832764508</v>
      </c>
      <c r="AH60">
        <v>0</v>
      </c>
      <c r="AI60">
        <f t="shared" si="7"/>
        <v>0</v>
      </c>
      <c r="AK60">
        <v>0</v>
      </c>
      <c r="AL60">
        <f t="shared" si="8"/>
        <v>0</v>
      </c>
      <c r="AN60">
        <v>0</v>
      </c>
      <c r="AO60">
        <f t="shared" si="9"/>
        <v>0</v>
      </c>
      <c r="AS60" t="s">
        <v>315</v>
      </c>
      <c r="AT60" s="25" t="s">
        <v>615</v>
      </c>
      <c r="AU60">
        <v>1</v>
      </c>
      <c r="AV60" s="4">
        <f t="shared" si="10"/>
        <v>0.45871559633027525</v>
      </c>
      <c r="AX60">
        <v>0</v>
      </c>
      <c r="AY60">
        <f t="shared" si="11"/>
        <v>0</v>
      </c>
      <c r="BA60">
        <v>0</v>
      </c>
      <c r="BB60">
        <f t="shared" si="12"/>
        <v>0</v>
      </c>
      <c r="BD60">
        <v>0</v>
      </c>
      <c r="BE60">
        <f t="shared" si="13"/>
        <v>0</v>
      </c>
      <c r="CI60" t="s">
        <v>325</v>
      </c>
      <c r="CJ60" t="s">
        <v>325</v>
      </c>
      <c r="CK60">
        <v>2</v>
      </c>
      <c r="CL60">
        <f t="shared" si="20"/>
        <v>1.0471204188481675</v>
      </c>
      <c r="CN60">
        <v>0</v>
      </c>
      <c r="CO60">
        <f t="shared" si="21"/>
        <v>0</v>
      </c>
      <c r="CQ60">
        <v>3</v>
      </c>
      <c r="CR60">
        <f t="shared" si="22"/>
        <v>1.0416666666666665</v>
      </c>
    </row>
    <row r="61" spans="9:148" x14ac:dyDescent="0.25">
      <c r="AC61" t="s">
        <v>315</v>
      </c>
      <c r="AD61" s="1" t="s">
        <v>130</v>
      </c>
      <c r="AE61">
        <v>1</v>
      </c>
      <c r="AF61">
        <f t="shared" si="6"/>
        <v>0.34129692832764508</v>
      </c>
      <c r="AH61">
        <v>0</v>
      </c>
      <c r="AI61">
        <f t="shared" si="7"/>
        <v>0</v>
      </c>
      <c r="AK61">
        <v>0</v>
      </c>
      <c r="AL61">
        <f t="shared" si="8"/>
        <v>0</v>
      </c>
      <c r="AN61">
        <v>0</v>
      </c>
      <c r="AO61">
        <f t="shared" si="9"/>
        <v>0</v>
      </c>
      <c r="AS61" t="s">
        <v>315</v>
      </c>
      <c r="AT61" s="25" t="s">
        <v>616</v>
      </c>
      <c r="AU61">
        <v>1</v>
      </c>
      <c r="AV61" s="4">
        <f t="shared" si="10"/>
        <v>0.45871559633027525</v>
      </c>
      <c r="AX61">
        <v>3</v>
      </c>
      <c r="AY61">
        <f t="shared" si="11"/>
        <v>1.2396694214876034</v>
      </c>
      <c r="BA61">
        <v>1</v>
      </c>
      <c r="BB61">
        <f t="shared" si="12"/>
        <v>0.92592592592592582</v>
      </c>
      <c r="BD61">
        <v>0</v>
      </c>
      <c r="BE61">
        <f t="shared" si="13"/>
        <v>0</v>
      </c>
      <c r="CI61" t="s">
        <v>568</v>
      </c>
      <c r="CJ61" t="s">
        <v>493</v>
      </c>
      <c r="CK61">
        <v>0</v>
      </c>
      <c r="CL61">
        <f t="shared" si="20"/>
        <v>0</v>
      </c>
      <c r="CN61">
        <v>6</v>
      </c>
      <c r="CO61">
        <f t="shared" si="21"/>
        <v>2.2813688212927756</v>
      </c>
      <c r="CQ61">
        <v>23</v>
      </c>
      <c r="CR61">
        <f t="shared" si="22"/>
        <v>7.9861111111111107</v>
      </c>
    </row>
    <row r="62" spans="9:148" x14ac:dyDescent="0.25">
      <c r="AC62" t="s">
        <v>315</v>
      </c>
      <c r="AD62" s="1" t="s">
        <v>444</v>
      </c>
      <c r="AE62">
        <v>3</v>
      </c>
      <c r="AF62">
        <f t="shared" si="6"/>
        <v>1.0238907849829351</v>
      </c>
      <c r="AH62">
        <v>7</v>
      </c>
      <c r="AI62">
        <f t="shared" si="7"/>
        <v>4</v>
      </c>
      <c r="AK62">
        <v>3</v>
      </c>
      <c r="AL62">
        <f t="shared" si="8"/>
        <v>1.4563106796116505</v>
      </c>
      <c r="AN62">
        <v>0</v>
      </c>
      <c r="AO62">
        <f t="shared" si="9"/>
        <v>0</v>
      </c>
      <c r="AS62" t="s">
        <v>315</v>
      </c>
      <c r="AT62" s="25" t="s">
        <v>468</v>
      </c>
      <c r="AU62">
        <v>1</v>
      </c>
      <c r="AV62" s="4">
        <f t="shared" si="10"/>
        <v>0.45871559633027525</v>
      </c>
      <c r="AX62">
        <v>0</v>
      </c>
      <c r="AY62">
        <f t="shared" si="11"/>
        <v>0</v>
      </c>
      <c r="BA62">
        <v>0</v>
      </c>
      <c r="BB62">
        <f t="shared" si="12"/>
        <v>0</v>
      </c>
      <c r="BD62">
        <v>0</v>
      </c>
      <c r="BE62">
        <f t="shared" si="13"/>
        <v>0</v>
      </c>
      <c r="CI62" t="s">
        <v>568</v>
      </c>
      <c r="CJ62" s="1" t="s">
        <v>218</v>
      </c>
      <c r="CK62">
        <v>1</v>
      </c>
      <c r="CL62">
        <f t="shared" si="20"/>
        <v>0.52356020942408377</v>
      </c>
      <c r="CN62">
        <v>2</v>
      </c>
      <c r="CO62">
        <f t="shared" si="21"/>
        <v>0.76045627376425851</v>
      </c>
      <c r="CQ62">
        <v>0</v>
      </c>
      <c r="CR62">
        <f t="shared" si="22"/>
        <v>0</v>
      </c>
    </row>
    <row r="63" spans="9:148" x14ac:dyDescent="0.25">
      <c r="AC63" t="s">
        <v>315</v>
      </c>
      <c r="AD63" s="1" t="s">
        <v>458</v>
      </c>
      <c r="AE63">
        <v>0</v>
      </c>
      <c r="AF63">
        <f t="shared" si="6"/>
        <v>0</v>
      </c>
      <c r="AH63">
        <v>0</v>
      </c>
      <c r="AI63">
        <f t="shared" si="7"/>
        <v>0</v>
      </c>
      <c r="AK63">
        <v>0</v>
      </c>
      <c r="AL63">
        <f t="shared" si="8"/>
        <v>0</v>
      </c>
      <c r="AN63">
        <v>0</v>
      </c>
      <c r="AO63">
        <f t="shared" si="9"/>
        <v>0</v>
      </c>
      <c r="AS63" t="s">
        <v>315</v>
      </c>
      <c r="AT63" s="25" t="s">
        <v>623</v>
      </c>
      <c r="AU63" s="4">
        <v>6</v>
      </c>
      <c r="AV63" s="4">
        <f t="shared" si="10"/>
        <v>2.7522935779816518</v>
      </c>
      <c r="AW63" s="4"/>
      <c r="AX63">
        <v>0</v>
      </c>
      <c r="AY63">
        <f t="shared" si="11"/>
        <v>0</v>
      </c>
      <c r="BA63">
        <v>0</v>
      </c>
      <c r="BB63">
        <f t="shared" si="12"/>
        <v>0</v>
      </c>
      <c r="BD63">
        <v>0</v>
      </c>
      <c r="BE63">
        <f t="shared" si="13"/>
        <v>0</v>
      </c>
      <c r="CI63" t="s">
        <v>568</v>
      </c>
      <c r="CJ63" s="1" t="s">
        <v>67</v>
      </c>
      <c r="CK63">
        <v>0</v>
      </c>
      <c r="CL63">
        <f t="shared" si="20"/>
        <v>0</v>
      </c>
      <c r="CN63">
        <v>0</v>
      </c>
      <c r="CO63">
        <f t="shared" si="21"/>
        <v>0</v>
      </c>
      <c r="CQ63">
        <v>1</v>
      </c>
      <c r="CR63">
        <f t="shared" si="22"/>
        <v>0.34722222222222221</v>
      </c>
    </row>
    <row r="64" spans="9:148" x14ac:dyDescent="0.25">
      <c r="AC64" t="s">
        <v>568</v>
      </c>
      <c r="AD64" s="1" t="s">
        <v>218</v>
      </c>
      <c r="AE64">
        <v>3</v>
      </c>
      <c r="AF64">
        <f t="shared" si="6"/>
        <v>1.0238907849829351</v>
      </c>
      <c r="AH64">
        <v>0</v>
      </c>
      <c r="AI64">
        <f t="shared" si="7"/>
        <v>0</v>
      </c>
      <c r="AK64">
        <v>0</v>
      </c>
      <c r="AL64">
        <f t="shared" si="8"/>
        <v>0</v>
      </c>
      <c r="AN64">
        <v>0</v>
      </c>
      <c r="AO64">
        <f t="shared" si="9"/>
        <v>0</v>
      </c>
      <c r="AS64" t="s">
        <v>315</v>
      </c>
      <c r="AT64" s="25" t="s">
        <v>475</v>
      </c>
      <c r="AU64" s="4">
        <v>1</v>
      </c>
      <c r="AV64" s="4">
        <f t="shared" si="10"/>
        <v>0.45871559633027525</v>
      </c>
      <c r="AW64" s="4"/>
      <c r="AX64">
        <v>0</v>
      </c>
      <c r="AY64">
        <f t="shared" si="11"/>
        <v>0</v>
      </c>
      <c r="BA64">
        <v>0</v>
      </c>
      <c r="BB64">
        <f t="shared" si="12"/>
        <v>0</v>
      </c>
      <c r="BD64">
        <v>0</v>
      </c>
      <c r="BE64">
        <f t="shared" si="13"/>
        <v>0</v>
      </c>
      <c r="CK64">
        <f>SUM(CK8:CK63)</f>
        <v>191</v>
      </c>
      <c r="CL64">
        <f t="shared" ref="CL64:CQ64" si="41">SUM(CL8:CL63)</f>
        <v>100</v>
      </c>
      <c r="CN64">
        <f t="shared" si="41"/>
        <v>263</v>
      </c>
      <c r="CO64">
        <f t="shared" si="21"/>
        <v>100</v>
      </c>
      <c r="CQ64">
        <f t="shared" si="41"/>
        <v>288</v>
      </c>
      <c r="CR64">
        <f>CQ64/288*100</f>
        <v>100</v>
      </c>
    </row>
    <row r="65" spans="29:57" x14ac:dyDescent="0.25">
      <c r="AC65" t="s">
        <v>568</v>
      </c>
      <c r="AD65" s="1" t="s">
        <v>442</v>
      </c>
      <c r="AE65">
        <v>3</v>
      </c>
      <c r="AF65">
        <f t="shared" si="6"/>
        <v>1.0238907849829351</v>
      </c>
      <c r="AH65">
        <v>0</v>
      </c>
      <c r="AI65">
        <f t="shared" si="7"/>
        <v>0</v>
      </c>
      <c r="AK65">
        <v>0</v>
      </c>
      <c r="AL65">
        <f t="shared" si="8"/>
        <v>0</v>
      </c>
      <c r="AN65">
        <v>0</v>
      </c>
      <c r="AO65">
        <f t="shared" si="9"/>
        <v>0</v>
      </c>
      <c r="AS65" t="s">
        <v>321</v>
      </c>
      <c r="AT65" s="25" t="s">
        <v>600</v>
      </c>
      <c r="AU65">
        <v>4</v>
      </c>
      <c r="AV65" s="4">
        <f t="shared" si="10"/>
        <v>1.834862385321101</v>
      </c>
      <c r="AX65">
        <v>15</v>
      </c>
      <c r="AY65">
        <f t="shared" si="11"/>
        <v>6.1983471074380168</v>
      </c>
      <c r="BA65">
        <v>0</v>
      </c>
      <c r="BB65">
        <f t="shared" si="12"/>
        <v>0</v>
      </c>
      <c r="BD65">
        <v>0</v>
      </c>
      <c r="BE65">
        <f t="shared" si="13"/>
        <v>0</v>
      </c>
    </row>
    <row r="66" spans="29:57" x14ac:dyDescent="0.25">
      <c r="AC66" t="s">
        <v>568</v>
      </c>
      <c r="AD66" s="1" t="s">
        <v>453</v>
      </c>
      <c r="AE66">
        <v>2</v>
      </c>
      <c r="AF66">
        <f t="shared" si="6"/>
        <v>0.68259385665529015</v>
      </c>
      <c r="AH66">
        <v>0</v>
      </c>
      <c r="AI66">
        <f t="shared" si="7"/>
        <v>0</v>
      </c>
      <c r="AK66">
        <v>0</v>
      </c>
      <c r="AL66">
        <f t="shared" si="8"/>
        <v>0</v>
      </c>
      <c r="AN66">
        <v>0</v>
      </c>
      <c r="AO66">
        <f t="shared" si="9"/>
        <v>0</v>
      </c>
      <c r="AS66" t="s">
        <v>321</v>
      </c>
      <c r="AT66" s="25" t="s">
        <v>621</v>
      </c>
      <c r="AU66">
        <v>3</v>
      </c>
      <c r="AV66" s="4">
        <f t="shared" si="10"/>
        <v>1.3761467889908259</v>
      </c>
      <c r="AX66">
        <v>6</v>
      </c>
      <c r="AY66">
        <f t="shared" si="11"/>
        <v>2.4793388429752068</v>
      </c>
      <c r="BA66">
        <v>0</v>
      </c>
      <c r="BB66">
        <f t="shared" si="12"/>
        <v>0</v>
      </c>
      <c r="BD66">
        <v>0</v>
      </c>
      <c r="BE66">
        <f t="shared" si="13"/>
        <v>0</v>
      </c>
    </row>
    <row r="67" spans="29:57" x14ac:dyDescent="0.25">
      <c r="AC67" t="s">
        <v>568</v>
      </c>
      <c r="AD67" s="1" t="s">
        <v>454</v>
      </c>
      <c r="AE67">
        <v>3</v>
      </c>
      <c r="AF67">
        <f t="shared" si="6"/>
        <v>1.0238907849829351</v>
      </c>
      <c r="AH67">
        <v>1</v>
      </c>
      <c r="AI67">
        <f t="shared" si="7"/>
        <v>0.5714285714285714</v>
      </c>
      <c r="AK67">
        <v>0</v>
      </c>
      <c r="AL67">
        <f t="shared" si="8"/>
        <v>0</v>
      </c>
      <c r="AN67">
        <v>0</v>
      </c>
      <c r="AO67">
        <f t="shared" si="9"/>
        <v>0</v>
      </c>
      <c r="AS67" t="s">
        <v>568</v>
      </c>
      <c r="AT67" s="25" t="s">
        <v>67</v>
      </c>
      <c r="AU67">
        <v>1</v>
      </c>
      <c r="AV67" s="4">
        <f t="shared" si="10"/>
        <v>0.45871559633027525</v>
      </c>
      <c r="AX67">
        <v>0</v>
      </c>
      <c r="AY67">
        <f t="shared" si="11"/>
        <v>0</v>
      </c>
      <c r="BA67">
        <v>0</v>
      </c>
      <c r="BB67">
        <f t="shared" si="12"/>
        <v>0</v>
      </c>
      <c r="BD67">
        <v>0</v>
      </c>
      <c r="BE67">
        <f t="shared" si="13"/>
        <v>0</v>
      </c>
    </row>
    <row r="68" spans="29:57" x14ac:dyDescent="0.25">
      <c r="AE68">
        <f>SUM(AE8:AE67)</f>
        <v>293</v>
      </c>
      <c r="AF68">
        <f t="shared" ref="AF68:AP68" si="42">SUM(AF8:AF67)</f>
        <v>100.00000000000011</v>
      </c>
      <c r="AH68">
        <f t="shared" si="42"/>
        <v>175</v>
      </c>
      <c r="AI68">
        <f t="shared" si="42"/>
        <v>99.999999999999957</v>
      </c>
      <c r="AK68">
        <f t="shared" si="42"/>
        <v>206</v>
      </c>
      <c r="AL68">
        <f t="shared" si="42"/>
        <v>99.999999999999986</v>
      </c>
      <c r="AN68">
        <f t="shared" si="42"/>
        <v>157</v>
      </c>
      <c r="AO68">
        <f t="shared" si="42"/>
        <v>100</v>
      </c>
      <c r="AU68">
        <f>SUM(AU8:AU67)</f>
        <v>218</v>
      </c>
      <c r="AV68">
        <f t="shared" ref="AV68:BC68" si="43">SUM(AV8:AV67)</f>
        <v>100.00000000000004</v>
      </c>
      <c r="AX68">
        <f t="shared" si="43"/>
        <v>242</v>
      </c>
      <c r="AY68">
        <f t="shared" si="43"/>
        <v>100.00000000000001</v>
      </c>
      <c r="BA68">
        <f t="shared" si="43"/>
        <v>108</v>
      </c>
      <c r="BB68">
        <f t="shared" si="43"/>
        <v>99.999999999999972</v>
      </c>
      <c r="BD68">
        <f>SUM(BD8:BD67)</f>
        <v>126</v>
      </c>
    </row>
  </sheetData>
  <sortState xmlns:xlrd2="http://schemas.microsoft.com/office/spreadsheetml/2017/richdata2" ref="G8:I48">
    <sortCondition ref="G8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C877A-D452-4772-8688-3D1F016C1B52}">
  <dimension ref="A1:ER108"/>
  <sheetViews>
    <sheetView topLeftCell="M1" workbookViewId="0">
      <selection activeCell="P2" sqref="P2"/>
    </sheetView>
  </sheetViews>
  <sheetFormatPr defaultRowHeight="15" x14ac:dyDescent="0.25"/>
  <cols>
    <col min="2" max="2" width="20.28515625" customWidth="1"/>
    <col min="3" max="3" width="10.28515625" bestFit="1" customWidth="1"/>
    <col min="4" max="4" width="18.42578125" bestFit="1" customWidth="1"/>
    <col min="7" max="7" width="12.85546875" customWidth="1"/>
    <col min="8" max="8" width="20.140625" customWidth="1"/>
    <col min="9" max="9" width="10.85546875" customWidth="1"/>
    <col min="13" max="13" width="13.85546875" customWidth="1"/>
    <col min="14" max="14" width="39.140625" customWidth="1"/>
    <col min="15" max="17" width="10" customWidth="1"/>
    <col min="29" max="29" width="11.42578125" customWidth="1"/>
    <col min="30" max="30" width="23.5703125" style="9" customWidth="1"/>
    <col min="45" max="45" width="15.42578125" customWidth="1"/>
    <col min="46" max="46" width="20.7109375" customWidth="1"/>
    <col min="51" max="51" width="14.140625" customWidth="1"/>
    <col min="52" max="52" width="28.85546875" customWidth="1"/>
    <col min="68" max="68" width="28.140625" customWidth="1"/>
    <col min="83" max="83" width="12.85546875" customWidth="1"/>
    <col min="84" max="84" width="17.7109375" customWidth="1"/>
    <col min="100" max="100" width="20.85546875" customWidth="1"/>
    <col min="106" max="106" width="11.140625" customWidth="1"/>
    <col min="107" max="107" width="19.5703125" customWidth="1"/>
    <col min="122" max="122" width="14.85546875" customWidth="1"/>
    <col min="123" max="123" width="18.5703125" customWidth="1"/>
    <col min="136" max="136" width="11.5703125" customWidth="1"/>
    <col min="137" max="137" width="25" customWidth="1"/>
    <col min="138" max="138" width="8.7109375" style="35"/>
    <col min="139" max="139" width="8.7109375" style="4"/>
    <col min="140" max="140" width="9.140625" style="4"/>
    <col min="143" max="143" width="9.140625" style="36"/>
    <col min="146" max="146" width="9.140625" style="36"/>
  </cols>
  <sheetData>
    <row r="1" spans="1:148" x14ac:dyDescent="0.25">
      <c r="B1" t="s">
        <v>674</v>
      </c>
      <c r="H1" t="s">
        <v>675</v>
      </c>
      <c r="N1" t="s">
        <v>626</v>
      </c>
      <c r="AD1" s="9" t="s">
        <v>627</v>
      </c>
      <c r="AT1" t="s">
        <v>624</v>
      </c>
      <c r="AZ1" t="s">
        <v>625</v>
      </c>
      <c r="BP1" t="s">
        <v>672</v>
      </c>
      <c r="CF1" t="s">
        <v>673</v>
      </c>
      <c r="CV1" s="17">
        <v>44317</v>
      </c>
      <c r="DD1" s="17">
        <v>44348</v>
      </c>
      <c r="DS1" s="17">
        <v>44378</v>
      </c>
    </row>
    <row r="2" spans="1:148" s="37" customFormat="1" x14ac:dyDescent="0.25">
      <c r="A2" s="37" t="s">
        <v>711</v>
      </c>
      <c r="B2" s="37" t="s">
        <v>0</v>
      </c>
      <c r="C2" s="37" t="s">
        <v>2</v>
      </c>
      <c r="D2" s="37" t="s">
        <v>716</v>
      </c>
      <c r="G2" s="37" t="s">
        <v>711</v>
      </c>
      <c r="H2" s="37" t="s">
        <v>0</v>
      </c>
      <c r="I2" s="37" t="s">
        <v>2</v>
      </c>
      <c r="J2" s="37" t="s">
        <v>716</v>
      </c>
      <c r="M2" s="37" t="s">
        <v>711</v>
      </c>
      <c r="N2" s="14" t="s">
        <v>180</v>
      </c>
      <c r="O2" s="32" t="s">
        <v>578</v>
      </c>
      <c r="P2" s="37" t="s">
        <v>716</v>
      </c>
      <c r="Q2" s="32"/>
      <c r="R2" s="32" t="s">
        <v>579</v>
      </c>
      <c r="S2" s="37" t="s">
        <v>716</v>
      </c>
      <c r="T2" s="32"/>
      <c r="U2" s="32" t="s">
        <v>580</v>
      </c>
      <c r="V2" s="37" t="s">
        <v>716</v>
      </c>
      <c r="W2" s="32"/>
      <c r="X2" s="32" t="s">
        <v>581</v>
      </c>
      <c r="Y2" s="37" t="s">
        <v>716</v>
      </c>
      <c r="AC2" s="37" t="s">
        <v>711</v>
      </c>
      <c r="AD2" s="14" t="s">
        <v>0</v>
      </c>
      <c r="AE2" s="33" t="s">
        <v>578</v>
      </c>
      <c r="AF2" s="37" t="s">
        <v>716</v>
      </c>
      <c r="AG2" s="33"/>
      <c r="AH2" s="33" t="s">
        <v>579</v>
      </c>
      <c r="AI2" s="37" t="s">
        <v>716</v>
      </c>
      <c r="AJ2" s="33"/>
      <c r="AK2" s="33" t="s">
        <v>580</v>
      </c>
      <c r="AL2" s="37" t="s">
        <v>716</v>
      </c>
      <c r="AM2" s="33"/>
      <c r="AN2" s="33" t="s">
        <v>581</v>
      </c>
      <c r="AO2" s="37" t="s">
        <v>716</v>
      </c>
      <c r="AS2" s="37" t="s">
        <v>711</v>
      </c>
      <c r="AT2" s="37" t="s">
        <v>0</v>
      </c>
      <c r="AU2" s="37" t="s">
        <v>380</v>
      </c>
      <c r="AV2" s="37" t="s">
        <v>716</v>
      </c>
      <c r="AY2" s="37" t="s">
        <v>711</v>
      </c>
      <c r="AZ2" s="37" t="s">
        <v>0</v>
      </c>
      <c r="BA2" s="33" t="s">
        <v>578</v>
      </c>
      <c r="BB2" s="37" t="s">
        <v>716</v>
      </c>
      <c r="BC2" s="33"/>
      <c r="BD2" s="33" t="s">
        <v>579</v>
      </c>
      <c r="BE2" s="37" t="s">
        <v>716</v>
      </c>
      <c r="BF2" s="33"/>
      <c r="BG2" s="33" t="s">
        <v>580</v>
      </c>
      <c r="BH2" s="37" t="s">
        <v>716</v>
      </c>
      <c r="BI2" s="33"/>
      <c r="BJ2" s="33" t="s">
        <v>581</v>
      </c>
      <c r="BK2" s="37" t="s">
        <v>716</v>
      </c>
      <c r="BO2" s="37" t="s">
        <v>711</v>
      </c>
      <c r="BP2" s="37" t="s">
        <v>0</v>
      </c>
      <c r="BQ2" s="33" t="s">
        <v>578</v>
      </c>
      <c r="BR2" s="37" t="s">
        <v>716</v>
      </c>
      <c r="BS2" s="33"/>
      <c r="BT2" s="33" t="s">
        <v>579</v>
      </c>
      <c r="BU2" s="37" t="s">
        <v>716</v>
      </c>
      <c r="BV2" s="33"/>
      <c r="BW2" s="33" t="s">
        <v>580</v>
      </c>
      <c r="BX2" s="37" t="s">
        <v>716</v>
      </c>
      <c r="BY2" s="33"/>
      <c r="BZ2" s="33" t="s">
        <v>581</v>
      </c>
      <c r="CA2" s="37" t="s">
        <v>716</v>
      </c>
      <c r="CE2" s="37" t="s">
        <v>711</v>
      </c>
      <c r="CF2" s="37" t="s">
        <v>0</v>
      </c>
      <c r="CG2" s="33" t="s">
        <v>578</v>
      </c>
      <c r="CH2" s="37" t="s">
        <v>716</v>
      </c>
      <c r="CI2" s="33"/>
      <c r="CJ2" s="33" t="s">
        <v>579</v>
      </c>
      <c r="CK2" s="37" t="s">
        <v>716</v>
      </c>
      <c r="CL2" s="33"/>
      <c r="CM2" s="33" t="s">
        <v>580</v>
      </c>
      <c r="CN2" s="37" t="s">
        <v>716</v>
      </c>
      <c r="CO2" s="33"/>
      <c r="CP2" s="33" t="s">
        <v>581</v>
      </c>
      <c r="CQ2" s="37" t="s">
        <v>716</v>
      </c>
      <c r="CU2" s="37" t="s">
        <v>711</v>
      </c>
      <c r="CV2" s="37" t="s">
        <v>0</v>
      </c>
      <c r="CW2" s="37" t="s">
        <v>251</v>
      </c>
      <c r="CX2" s="37" t="s">
        <v>716</v>
      </c>
      <c r="DB2" s="37" t="s">
        <v>711</v>
      </c>
      <c r="DC2" s="37" t="s">
        <v>0</v>
      </c>
      <c r="DD2" s="33" t="s">
        <v>578</v>
      </c>
      <c r="DE2" s="37" t="s">
        <v>716</v>
      </c>
      <c r="DF2" s="33"/>
      <c r="DG2" s="33" t="s">
        <v>579</v>
      </c>
      <c r="DH2" s="37" t="s">
        <v>716</v>
      </c>
      <c r="DI2" s="33"/>
      <c r="DJ2" s="33" t="s">
        <v>580</v>
      </c>
      <c r="DK2" s="37" t="s">
        <v>716</v>
      </c>
      <c r="DL2" s="33"/>
      <c r="DM2" s="33" t="s">
        <v>581</v>
      </c>
      <c r="DN2" s="37" t="s">
        <v>716</v>
      </c>
      <c r="DS2" s="37" t="s">
        <v>0</v>
      </c>
      <c r="DT2" s="33" t="s">
        <v>578</v>
      </c>
      <c r="DU2" s="37" t="s">
        <v>716</v>
      </c>
      <c r="DV2" s="33"/>
      <c r="DW2" s="33" t="s">
        <v>579</v>
      </c>
      <c r="DX2" s="37" t="s">
        <v>716</v>
      </c>
      <c r="DY2" s="33"/>
      <c r="DZ2" s="33" t="s">
        <v>580</v>
      </c>
      <c r="EA2" s="37" t="s">
        <v>716</v>
      </c>
      <c r="EF2" s="33"/>
      <c r="EG2" s="33" t="s">
        <v>0</v>
      </c>
      <c r="EH2" s="33" t="s">
        <v>578</v>
      </c>
      <c r="EI2" s="37" t="s">
        <v>716</v>
      </c>
      <c r="EK2" s="33" t="s">
        <v>579</v>
      </c>
      <c r="EL2" s="37" t="s">
        <v>716</v>
      </c>
      <c r="EN2" s="33" t="s">
        <v>580</v>
      </c>
      <c r="EO2" s="37" t="s">
        <v>716</v>
      </c>
      <c r="EQ2" s="33" t="s">
        <v>581</v>
      </c>
      <c r="ER2" s="37" t="s">
        <v>716</v>
      </c>
    </row>
    <row r="3" spans="1:148" x14ac:dyDescent="0.25">
      <c r="A3" t="s">
        <v>712</v>
      </c>
      <c r="B3" t="s">
        <v>178</v>
      </c>
      <c r="C3">
        <v>5</v>
      </c>
      <c r="D3">
        <f>C3/727*100</f>
        <v>0.68775790921595592</v>
      </c>
      <c r="G3" t="s">
        <v>712</v>
      </c>
      <c r="H3" t="s">
        <v>79</v>
      </c>
      <c r="I3">
        <v>3</v>
      </c>
      <c r="J3">
        <f>I3/945*100</f>
        <v>0.31746031746031744</v>
      </c>
      <c r="M3" s="9" t="s">
        <v>571</v>
      </c>
      <c r="N3" s="9" t="s">
        <v>89</v>
      </c>
      <c r="O3" s="9">
        <v>4</v>
      </c>
      <c r="P3" s="9">
        <f>O3/463*100</f>
        <v>0.86393088552915775</v>
      </c>
      <c r="Q3" s="9"/>
      <c r="R3" s="9">
        <v>0</v>
      </c>
      <c r="S3" s="9">
        <f>R3/247*100</f>
        <v>0</v>
      </c>
      <c r="T3" s="9"/>
      <c r="U3" s="9">
        <v>0</v>
      </c>
      <c r="V3" s="9">
        <f>U3/278*100</f>
        <v>0</v>
      </c>
      <c r="W3" s="9"/>
      <c r="X3" s="9">
        <v>0</v>
      </c>
      <c r="Y3">
        <f>X3/102*100</f>
        <v>0</v>
      </c>
      <c r="AC3" t="s">
        <v>571</v>
      </c>
      <c r="AD3" s="27" t="s">
        <v>151</v>
      </c>
      <c r="AE3">
        <v>2</v>
      </c>
      <c r="AF3">
        <f t="shared" ref="AF3:AF49" si="0">AE3/277*100</f>
        <v>0.72202166064981954</v>
      </c>
      <c r="AH3">
        <v>0</v>
      </c>
      <c r="AI3">
        <f>AH3/191*100</f>
        <v>0</v>
      </c>
      <c r="AK3">
        <v>0</v>
      </c>
      <c r="AL3">
        <f>AK3/207*100</f>
        <v>0</v>
      </c>
      <c r="AN3">
        <v>0</v>
      </c>
      <c r="AO3">
        <f>AN3/180*100</f>
        <v>0</v>
      </c>
      <c r="AS3" t="s">
        <v>320</v>
      </c>
      <c r="AT3" s="27" t="s">
        <v>665</v>
      </c>
      <c r="AU3" s="9">
        <v>3</v>
      </c>
      <c r="AV3">
        <f>AU3/2727*100</f>
        <v>0.11001100110011</v>
      </c>
      <c r="AY3" t="s">
        <v>320</v>
      </c>
      <c r="AZ3" t="s">
        <v>225</v>
      </c>
      <c r="BA3">
        <v>7</v>
      </c>
      <c r="BB3">
        <f>BA3/2843*100</f>
        <v>0.24621878297572986</v>
      </c>
      <c r="BD3">
        <v>0</v>
      </c>
      <c r="BE3">
        <f>BD3/1535*100</f>
        <v>0</v>
      </c>
      <c r="BG3">
        <v>30</v>
      </c>
      <c r="BH3">
        <f>BG3/440*100</f>
        <v>6.8181818181818175</v>
      </c>
      <c r="BJ3">
        <v>0</v>
      </c>
      <c r="BK3">
        <f>BJ3/294*100</f>
        <v>0</v>
      </c>
      <c r="BO3" t="s">
        <v>712</v>
      </c>
      <c r="BP3" t="s">
        <v>264</v>
      </c>
      <c r="BQ3">
        <v>2</v>
      </c>
      <c r="BR3">
        <f t="shared" ref="BR3:BR34" si="1">BQ3/3435*100</f>
        <v>5.8224163027656484E-2</v>
      </c>
      <c r="BT3">
        <v>1</v>
      </c>
      <c r="BU3">
        <f>BT3/309*100</f>
        <v>0.3236245954692557</v>
      </c>
      <c r="BW3">
        <v>0</v>
      </c>
      <c r="BX3">
        <f>BW3/1611*100</f>
        <v>0</v>
      </c>
      <c r="BZ3">
        <v>0</v>
      </c>
      <c r="CA3">
        <f>BZ3/222*100</f>
        <v>0</v>
      </c>
      <c r="CE3" t="s">
        <v>571</v>
      </c>
      <c r="CF3" t="s">
        <v>175</v>
      </c>
      <c r="CG3">
        <v>5</v>
      </c>
      <c r="CH3">
        <f>CG3/229*100</f>
        <v>2.1834061135371177</v>
      </c>
      <c r="CJ3">
        <v>1</v>
      </c>
      <c r="CK3">
        <f>CJ3/447*100</f>
        <v>0.22371364653243847</v>
      </c>
      <c r="CM3">
        <v>5</v>
      </c>
      <c r="CN3">
        <f>CM3/2673*100</f>
        <v>0.18705574261129815</v>
      </c>
      <c r="CP3">
        <v>0</v>
      </c>
      <c r="CQ3">
        <f>CP3/2619*100</f>
        <v>0</v>
      </c>
      <c r="CU3" t="s">
        <v>712</v>
      </c>
      <c r="CV3" t="s">
        <v>253</v>
      </c>
      <c r="CW3">
        <v>2</v>
      </c>
      <c r="CX3">
        <f>CW3/780*100</f>
        <v>0.25641025641025639</v>
      </c>
      <c r="DB3" t="s">
        <v>322</v>
      </c>
      <c r="DC3" t="s">
        <v>362</v>
      </c>
      <c r="DD3">
        <v>7</v>
      </c>
      <c r="DE3">
        <f>DD3/119*100</f>
        <v>5.8823529411764701</v>
      </c>
      <c r="DG3">
        <v>19</v>
      </c>
      <c r="DH3">
        <f>DG3/139*100</f>
        <v>13.669064748201439</v>
      </c>
      <c r="DJ3">
        <v>14</v>
      </c>
      <c r="DK3">
        <f>DJ3/394*100</f>
        <v>3.5532994923857872</v>
      </c>
      <c r="DM3">
        <v>43</v>
      </c>
      <c r="DN3">
        <f>DM3/199*100</f>
        <v>21.608040201005025</v>
      </c>
      <c r="DR3" t="s">
        <v>571</v>
      </c>
      <c r="DS3" t="s">
        <v>376</v>
      </c>
      <c r="DT3">
        <v>0</v>
      </c>
      <c r="DU3">
        <f>DT3/167*100</f>
        <v>0</v>
      </c>
      <c r="DW3">
        <v>1</v>
      </c>
      <c r="DX3">
        <f>DW3/264*100</f>
        <v>0.37878787878787878</v>
      </c>
      <c r="DZ3">
        <v>12</v>
      </c>
      <c r="EA3">
        <f>DZ3/308*100</f>
        <v>3.8961038961038961</v>
      </c>
      <c r="EF3" s="28" t="s">
        <v>322</v>
      </c>
      <c r="EG3" s="28" t="s">
        <v>362</v>
      </c>
      <c r="EH3" s="28">
        <v>9</v>
      </c>
      <c r="EI3" s="28">
        <f>EH3/197*100</f>
        <v>4.5685279187817258</v>
      </c>
      <c r="EJ3" s="28"/>
      <c r="EK3" s="28">
        <v>11</v>
      </c>
      <c r="EL3" s="28">
        <f>EK3/145*100</f>
        <v>7.5862068965517242</v>
      </c>
      <c r="EM3" s="28"/>
      <c r="EN3" s="28">
        <v>0</v>
      </c>
      <c r="EO3" s="28">
        <f>EN3/166*100</f>
        <v>0</v>
      </c>
      <c r="EP3" s="28"/>
      <c r="EQ3" s="28">
        <v>15</v>
      </c>
      <c r="ER3">
        <f>EQ3/100*100</f>
        <v>15</v>
      </c>
    </row>
    <row r="4" spans="1:148" x14ac:dyDescent="0.25">
      <c r="A4" s="36" t="s">
        <v>712</v>
      </c>
      <c r="B4" s="1" t="s">
        <v>131</v>
      </c>
      <c r="C4">
        <v>1</v>
      </c>
      <c r="D4">
        <f t="shared" ref="D4:D28" si="2">C4/727*100</f>
        <v>0.13755158184319119</v>
      </c>
      <c r="G4" s="36" t="s">
        <v>712</v>
      </c>
      <c r="H4" s="1" t="s">
        <v>54</v>
      </c>
      <c r="I4">
        <v>1</v>
      </c>
      <c r="J4">
        <f t="shared" ref="J4:J44" si="3">I4/945*100</f>
        <v>0.10582010582010583</v>
      </c>
      <c r="M4" s="9" t="s">
        <v>712</v>
      </c>
      <c r="N4" s="30" t="s">
        <v>186</v>
      </c>
      <c r="O4" s="9">
        <v>8</v>
      </c>
      <c r="P4" s="9">
        <f t="shared" ref="P4:P51" si="4">O4/463*100</f>
        <v>1.7278617710583155</v>
      </c>
      <c r="Q4" s="9"/>
      <c r="R4" s="9">
        <v>2</v>
      </c>
      <c r="S4" s="9">
        <f t="shared" ref="S4:S51" si="5">R4/247*100</f>
        <v>0.80971659919028338</v>
      </c>
      <c r="T4" s="9"/>
      <c r="U4" s="9">
        <v>0</v>
      </c>
      <c r="V4" s="9">
        <f t="shared" ref="V4:V51" si="6">U4/278*100</f>
        <v>0</v>
      </c>
      <c r="W4" s="9"/>
      <c r="X4" s="9">
        <v>0</v>
      </c>
      <c r="Y4">
        <f t="shared" ref="Y4:Y51" si="7">X4/102*100</f>
        <v>0</v>
      </c>
      <c r="AC4" t="s">
        <v>712</v>
      </c>
      <c r="AD4" s="26" t="s">
        <v>33</v>
      </c>
      <c r="AE4">
        <v>1</v>
      </c>
      <c r="AF4">
        <f t="shared" si="0"/>
        <v>0.36101083032490977</v>
      </c>
      <c r="AH4">
        <v>2</v>
      </c>
      <c r="AI4">
        <f t="shared" ref="AI4:AI49" si="8">AH4/191*100</f>
        <v>1.0471204188481675</v>
      </c>
      <c r="AK4">
        <v>0</v>
      </c>
      <c r="AL4">
        <f t="shared" ref="AL4:AL49" si="9">AK4/207*100</f>
        <v>0</v>
      </c>
      <c r="AN4">
        <v>0</v>
      </c>
      <c r="AO4">
        <f t="shared" ref="AO4:AO49" si="10">AN4/180*100</f>
        <v>0</v>
      </c>
      <c r="AS4" t="s">
        <v>571</v>
      </c>
      <c r="AT4" s="27" t="s">
        <v>89</v>
      </c>
      <c r="AU4" s="9">
        <v>4</v>
      </c>
      <c r="AV4">
        <f t="shared" ref="AV4:AV57" si="11">AU4/2727*100</f>
        <v>0.14668133480014667</v>
      </c>
      <c r="AY4" t="s">
        <v>571</v>
      </c>
      <c r="AZ4" t="s">
        <v>175</v>
      </c>
      <c r="BA4">
        <v>1</v>
      </c>
      <c r="BB4">
        <f t="shared" ref="BB4:BB65" si="12">BA4/2843*100</f>
        <v>3.5174111853675694E-2</v>
      </c>
      <c r="BD4">
        <v>4</v>
      </c>
      <c r="BE4">
        <f t="shared" ref="BE4:BE65" si="13">BD4/1535*100</f>
        <v>0.26058631921824105</v>
      </c>
      <c r="BG4">
        <v>0</v>
      </c>
      <c r="BH4">
        <f t="shared" ref="BH4:BH65" si="14">BG4/440*100</f>
        <v>0</v>
      </c>
      <c r="BJ4">
        <v>3</v>
      </c>
      <c r="BK4">
        <f t="shared" ref="BK4:BK65" si="15">BJ4/294*100</f>
        <v>1.0204081632653061</v>
      </c>
      <c r="BO4" s="36" t="s">
        <v>712</v>
      </c>
      <c r="BP4" s="1" t="s">
        <v>253</v>
      </c>
      <c r="BQ4">
        <v>5</v>
      </c>
      <c r="BR4">
        <f t="shared" si="1"/>
        <v>0.14556040756914121</v>
      </c>
      <c r="BT4">
        <v>9</v>
      </c>
      <c r="BU4">
        <f t="shared" ref="BU4:BU54" si="16">BT4/309*100</f>
        <v>2.912621359223301</v>
      </c>
      <c r="BW4">
        <v>0</v>
      </c>
      <c r="BX4">
        <f t="shared" ref="BX4:BX54" si="17">BW4/1611*100</f>
        <v>0</v>
      </c>
      <c r="BZ4">
        <v>0</v>
      </c>
      <c r="CA4">
        <f t="shared" ref="CA4:CA54" si="18">BZ4/222*100</f>
        <v>0</v>
      </c>
      <c r="CE4" t="s">
        <v>712</v>
      </c>
      <c r="CF4" s="1" t="s">
        <v>253</v>
      </c>
      <c r="CG4">
        <v>1</v>
      </c>
      <c r="CH4">
        <f t="shared" ref="CH4:CH67" si="19">CG4/229*100</f>
        <v>0.43668122270742354</v>
      </c>
      <c r="CJ4">
        <v>5</v>
      </c>
      <c r="CK4">
        <f t="shared" ref="CK4:CK67" si="20">CJ4/447*100</f>
        <v>1.1185682326621924</v>
      </c>
      <c r="CM4">
        <v>0</v>
      </c>
      <c r="CN4">
        <f t="shared" ref="CN4:CN67" si="21">CM4/2673*100</f>
        <v>0</v>
      </c>
      <c r="CP4">
        <v>0</v>
      </c>
      <c r="CQ4">
        <f t="shared" ref="CQ4:CQ67" si="22">CP4/2619*100</f>
        <v>0</v>
      </c>
      <c r="CU4" s="36" t="s">
        <v>712</v>
      </c>
      <c r="CV4" t="s">
        <v>301</v>
      </c>
      <c r="CW4">
        <v>2</v>
      </c>
      <c r="CX4">
        <f t="shared" ref="CX4:CX38" si="23">CW4/780*100</f>
        <v>0.25641025641025639</v>
      </c>
      <c r="DB4" t="s">
        <v>571</v>
      </c>
      <c r="DC4" t="s">
        <v>376</v>
      </c>
      <c r="DD4">
        <v>0</v>
      </c>
      <c r="DE4">
        <f t="shared" ref="DE4:DE44" si="24">DD4/119*100</f>
        <v>0</v>
      </c>
      <c r="DG4">
        <v>0</v>
      </c>
      <c r="DH4">
        <f t="shared" ref="DH4:DH44" si="25">DG4/139*100</f>
        <v>0</v>
      </c>
      <c r="DJ4">
        <v>3</v>
      </c>
      <c r="DK4">
        <f t="shared" ref="DK4:DK44" si="26">DJ4/394*100</f>
        <v>0.76142131979695438</v>
      </c>
      <c r="DM4">
        <v>3</v>
      </c>
      <c r="DN4">
        <f t="shared" ref="DN4:DN44" si="27">DM4/199*100</f>
        <v>1.5075376884422109</v>
      </c>
      <c r="DR4" t="s">
        <v>712</v>
      </c>
      <c r="DS4" t="s">
        <v>336</v>
      </c>
      <c r="DT4">
        <v>0</v>
      </c>
      <c r="DU4">
        <f t="shared" ref="DU4:DU46" si="28">DT4/167*100</f>
        <v>0</v>
      </c>
      <c r="DW4">
        <v>1</v>
      </c>
      <c r="DX4">
        <f t="shared" ref="DX4:DX46" si="29">DW4/264*100</f>
        <v>0.37878787878787878</v>
      </c>
      <c r="DZ4">
        <v>0</v>
      </c>
      <c r="EA4">
        <f t="shared" ref="EA4:EA46" si="30">DZ4/308*100</f>
        <v>0</v>
      </c>
      <c r="EF4" s="28" t="s">
        <v>571</v>
      </c>
      <c r="EG4" s="28" t="s">
        <v>376</v>
      </c>
      <c r="EH4" s="28">
        <v>3</v>
      </c>
      <c r="EI4" s="28">
        <f>EH4/197*100</f>
        <v>1.5228426395939088</v>
      </c>
      <c r="EJ4" s="28"/>
      <c r="EK4" s="28">
        <v>3</v>
      </c>
      <c r="EL4" s="28">
        <f>EK4/145*100</f>
        <v>2.0689655172413794</v>
      </c>
      <c r="EM4" s="28"/>
      <c r="EN4" s="28">
        <v>1</v>
      </c>
      <c r="EO4" s="28">
        <f t="shared" ref="EO4:EO47" si="31">EN4/166*100</f>
        <v>0.60240963855421692</v>
      </c>
      <c r="EP4" s="28"/>
      <c r="EQ4" s="28">
        <v>2</v>
      </c>
      <c r="ER4">
        <f t="shared" ref="ER4:ER47" si="32">EQ4/100*100</f>
        <v>2</v>
      </c>
    </row>
    <row r="5" spans="1:148" x14ac:dyDescent="0.25">
      <c r="A5" t="s">
        <v>713</v>
      </c>
      <c r="B5" s="5" t="s">
        <v>114</v>
      </c>
      <c r="C5">
        <v>1</v>
      </c>
      <c r="D5">
        <f t="shared" si="2"/>
        <v>0.13755158184319119</v>
      </c>
      <c r="G5" s="36" t="s">
        <v>712</v>
      </c>
      <c r="H5" s="1" t="s">
        <v>60</v>
      </c>
      <c r="I5">
        <v>12</v>
      </c>
      <c r="J5">
        <f t="shared" si="3"/>
        <v>1.2698412698412698</v>
      </c>
      <c r="M5" s="9" t="s">
        <v>712</v>
      </c>
      <c r="N5" s="26" t="s">
        <v>201</v>
      </c>
      <c r="O5" s="9">
        <v>1</v>
      </c>
      <c r="P5" s="9">
        <f t="shared" si="4"/>
        <v>0.21598272138228944</v>
      </c>
      <c r="Q5" s="9"/>
      <c r="R5" s="9">
        <v>1</v>
      </c>
      <c r="S5" s="9">
        <f t="shared" si="5"/>
        <v>0.40485829959514169</v>
      </c>
      <c r="T5" s="9"/>
      <c r="U5" s="9">
        <v>0</v>
      </c>
      <c r="V5" s="9">
        <f t="shared" si="6"/>
        <v>0</v>
      </c>
      <c r="W5" s="9"/>
      <c r="X5" s="9">
        <v>0</v>
      </c>
      <c r="Y5">
        <f t="shared" si="7"/>
        <v>0</v>
      </c>
      <c r="AC5" s="36" t="s">
        <v>712</v>
      </c>
      <c r="AD5" s="27" t="s">
        <v>150</v>
      </c>
      <c r="AE5">
        <v>1</v>
      </c>
      <c r="AF5">
        <f t="shared" si="0"/>
        <v>0.36101083032490977</v>
      </c>
      <c r="AH5">
        <v>3</v>
      </c>
      <c r="AI5">
        <f t="shared" si="8"/>
        <v>1.5706806282722512</v>
      </c>
      <c r="AK5">
        <v>0</v>
      </c>
      <c r="AL5">
        <f t="shared" si="9"/>
        <v>0</v>
      </c>
      <c r="AN5">
        <v>0</v>
      </c>
      <c r="AO5">
        <f t="shared" si="10"/>
        <v>0</v>
      </c>
      <c r="AS5" t="s">
        <v>712</v>
      </c>
      <c r="AT5" s="27" t="s">
        <v>648</v>
      </c>
      <c r="AU5" s="9">
        <v>3</v>
      </c>
      <c r="AV5">
        <f t="shared" si="11"/>
        <v>0.11001100110011</v>
      </c>
      <c r="AY5" t="s">
        <v>712</v>
      </c>
      <c r="AZ5" t="s">
        <v>233</v>
      </c>
      <c r="BA5">
        <v>0</v>
      </c>
      <c r="BB5">
        <f t="shared" si="12"/>
        <v>0</v>
      </c>
      <c r="BD5">
        <v>1</v>
      </c>
      <c r="BE5">
        <f t="shared" si="13"/>
        <v>6.5146579804560262E-2</v>
      </c>
      <c r="BG5">
        <v>0</v>
      </c>
      <c r="BH5">
        <f t="shared" si="14"/>
        <v>0</v>
      </c>
      <c r="BJ5">
        <v>0</v>
      </c>
      <c r="BK5">
        <f t="shared" si="15"/>
        <v>0</v>
      </c>
      <c r="BO5" s="36" t="s">
        <v>712</v>
      </c>
      <c r="BP5" t="s">
        <v>233</v>
      </c>
      <c r="BQ5">
        <v>0</v>
      </c>
      <c r="BR5">
        <f t="shared" si="1"/>
        <v>0</v>
      </c>
      <c r="BT5">
        <v>3</v>
      </c>
      <c r="BU5">
        <f t="shared" si="16"/>
        <v>0.97087378640776689</v>
      </c>
      <c r="BW5">
        <v>0</v>
      </c>
      <c r="BX5">
        <f t="shared" si="17"/>
        <v>0</v>
      </c>
      <c r="BZ5">
        <v>2</v>
      </c>
      <c r="CA5">
        <f t="shared" si="18"/>
        <v>0.90090090090090091</v>
      </c>
      <c r="CE5" s="36" t="s">
        <v>712</v>
      </c>
      <c r="CF5" t="s">
        <v>294</v>
      </c>
      <c r="CG5">
        <v>0</v>
      </c>
      <c r="CH5">
        <f t="shared" si="19"/>
        <v>0</v>
      </c>
      <c r="CJ5">
        <v>1</v>
      </c>
      <c r="CK5">
        <f t="shared" si="20"/>
        <v>0.22371364653243847</v>
      </c>
      <c r="CM5">
        <v>0</v>
      </c>
      <c r="CN5">
        <f t="shared" si="21"/>
        <v>0</v>
      </c>
      <c r="CP5">
        <v>0</v>
      </c>
      <c r="CQ5">
        <f t="shared" si="22"/>
        <v>0</v>
      </c>
      <c r="CU5" t="s">
        <v>713</v>
      </c>
      <c r="CV5" t="s">
        <v>354</v>
      </c>
      <c r="CW5">
        <v>27</v>
      </c>
      <c r="CX5">
        <f t="shared" si="23"/>
        <v>3.4615384615384617</v>
      </c>
      <c r="DB5" t="s">
        <v>712</v>
      </c>
      <c r="DC5" t="s">
        <v>253</v>
      </c>
      <c r="DD5">
        <v>6</v>
      </c>
      <c r="DE5">
        <f t="shared" si="24"/>
        <v>5.0420168067226889</v>
      </c>
      <c r="DG5">
        <v>3</v>
      </c>
      <c r="DH5">
        <f t="shared" si="25"/>
        <v>2.1582733812949639</v>
      </c>
      <c r="DJ5">
        <v>3</v>
      </c>
      <c r="DK5">
        <f t="shared" si="26"/>
        <v>0.76142131979695438</v>
      </c>
      <c r="DM5">
        <v>3</v>
      </c>
      <c r="DN5">
        <f t="shared" si="27"/>
        <v>1.5075376884422109</v>
      </c>
      <c r="DR5" t="s">
        <v>713</v>
      </c>
      <c r="DS5" t="s">
        <v>354</v>
      </c>
      <c r="DT5">
        <v>31</v>
      </c>
      <c r="DU5">
        <f t="shared" si="28"/>
        <v>18.562874251497004</v>
      </c>
      <c r="DW5">
        <v>20</v>
      </c>
      <c r="DX5">
        <f t="shared" si="29"/>
        <v>7.5757575757575761</v>
      </c>
      <c r="DZ5">
        <v>25</v>
      </c>
      <c r="EA5">
        <f t="shared" si="30"/>
        <v>8.1168831168831161</v>
      </c>
      <c r="EF5" s="28" t="s">
        <v>712</v>
      </c>
      <c r="EG5" s="28" t="s">
        <v>336</v>
      </c>
      <c r="EH5" s="28">
        <v>0</v>
      </c>
      <c r="EI5" s="28">
        <f>EH5/197*100</f>
        <v>0</v>
      </c>
      <c r="EJ5" s="28"/>
      <c r="EK5" s="28">
        <v>0</v>
      </c>
      <c r="EL5" s="28">
        <f>EK5/145*100</f>
        <v>0</v>
      </c>
      <c r="EM5" s="28"/>
      <c r="EN5" s="28">
        <v>0</v>
      </c>
      <c r="EO5" s="28">
        <f t="shared" si="31"/>
        <v>0</v>
      </c>
      <c r="EP5" s="28"/>
      <c r="EQ5" s="28">
        <v>1</v>
      </c>
      <c r="ER5">
        <f t="shared" si="32"/>
        <v>1</v>
      </c>
    </row>
    <row r="6" spans="1:148" x14ac:dyDescent="0.25">
      <c r="A6" s="36" t="s">
        <v>713</v>
      </c>
      <c r="B6" t="s">
        <v>78</v>
      </c>
      <c r="C6">
        <v>43</v>
      </c>
      <c r="D6">
        <f t="shared" si="2"/>
        <v>5.9147180192572213</v>
      </c>
      <c r="G6" t="s">
        <v>713</v>
      </c>
      <c r="H6" t="s">
        <v>70</v>
      </c>
      <c r="I6">
        <v>10</v>
      </c>
      <c r="J6">
        <f t="shared" si="3"/>
        <v>1.0582010582010581</v>
      </c>
      <c r="M6" s="9" t="s">
        <v>712</v>
      </c>
      <c r="N6" s="26" t="s">
        <v>177</v>
      </c>
      <c r="O6" s="9">
        <v>0</v>
      </c>
      <c r="P6" s="9">
        <f t="shared" si="4"/>
        <v>0</v>
      </c>
      <c r="Q6" s="9"/>
      <c r="R6" s="9">
        <v>0</v>
      </c>
      <c r="S6" s="9">
        <f t="shared" si="5"/>
        <v>0</v>
      </c>
      <c r="T6" s="9"/>
      <c r="U6" s="9">
        <v>0</v>
      </c>
      <c r="V6" s="9">
        <f t="shared" si="6"/>
        <v>0</v>
      </c>
      <c r="W6" s="9"/>
      <c r="X6" s="9">
        <v>2</v>
      </c>
      <c r="Y6">
        <f t="shared" si="7"/>
        <v>1.9607843137254901</v>
      </c>
      <c r="AC6" t="s">
        <v>713</v>
      </c>
      <c r="AD6" s="27" t="s">
        <v>135</v>
      </c>
      <c r="AE6">
        <v>2</v>
      </c>
      <c r="AF6">
        <f t="shared" si="0"/>
        <v>0.72202166064981954</v>
      </c>
      <c r="AH6">
        <v>2</v>
      </c>
      <c r="AI6">
        <f t="shared" si="8"/>
        <v>1.0471204188481675</v>
      </c>
      <c r="AK6">
        <v>4</v>
      </c>
      <c r="AL6">
        <f t="shared" si="9"/>
        <v>1.932367149758454</v>
      </c>
      <c r="AN6">
        <v>0</v>
      </c>
      <c r="AO6">
        <f t="shared" si="10"/>
        <v>0</v>
      </c>
      <c r="AS6" s="36" t="s">
        <v>712</v>
      </c>
      <c r="AT6" s="26" t="s">
        <v>98</v>
      </c>
      <c r="AU6" s="9">
        <v>1</v>
      </c>
      <c r="AV6">
        <f t="shared" si="11"/>
        <v>3.6670333700036667E-2</v>
      </c>
      <c r="AY6" s="36" t="s">
        <v>712</v>
      </c>
      <c r="AZ6" s="1" t="s">
        <v>177</v>
      </c>
      <c r="BA6">
        <v>0</v>
      </c>
      <c r="BB6">
        <f t="shared" si="12"/>
        <v>0</v>
      </c>
      <c r="BD6">
        <v>1</v>
      </c>
      <c r="BE6">
        <f t="shared" si="13"/>
        <v>6.5146579804560262E-2</v>
      </c>
      <c r="BG6">
        <v>0</v>
      </c>
      <c r="BH6">
        <f t="shared" si="14"/>
        <v>0</v>
      </c>
      <c r="BJ6">
        <v>0</v>
      </c>
      <c r="BK6">
        <f t="shared" si="15"/>
        <v>0</v>
      </c>
      <c r="BO6" t="s">
        <v>713</v>
      </c>
      <c r="BP6" t="s">
        <v>161</v>
      </c>
      <c r="BQ6">
        <v>0</v>
      </c>
      <c r="BR6">
        <f t="shared" si="1"/>
        <v>0</v>
      </c>
      <c r="BT6">
        <v>4</v>
      </c>
      <c r="BU6">
        <f t="shared" si="16"/>
        <v>1.2944983818770228</v>
      </c>
      <c r="BW6">
        <v>0</v>
      </c>
      <c r="BX6">
        <f t="shared" si="17"/>
        <v>0</v>
      </c>
      <c r="BZ6">
        <v>0</v>
      </c>
      <c r="CA6">
        <f t="shared" si="18"/>
        <v>0</v>
      </c>
      <c r="CE6" s="36" t="s">
        <v>712</v>
      </c>
      <c r="CF6" t="s">
        <v>296</v>
      </c>
      <c r="CG6">
        <v>0</v>
      </c>
      <c r="CH6">
        <f t="shared" si="19"/>
        <v>0</v>
      </c>
      <c r="CJ6">
        <v>1</v>
      </c>
      <c r="CK6">
        <f t="shared" si="20"/>
        <v>0.22371364653243847</v>
      </c>
      <c r="CM6">
        <v>0</v>
      </c>
      <c r="CN6">
        <f t="shared" si="21"/>
        <v>0</v>
      </c>
      <c r="CP6">
        <v>0</v>
      </c>
      <c r="CQ6">
        <f t="shared" si="22"/>
        <v>0</v>
      </c>
      <c r="CU6" s="36" t="s">
        <v>713</v>
      </c>
      <c r="CV6" t="s">
        <v>164</v>
      </c>
      <c r="CW6">
        <v>37</v>
      </c>
      <c r="CX6">
        <f t="shared" si="23"/>
        <v>4.7435897435897436</v>
      </c>
      <c r="DB6" s="36" t="s">
        <v>712</v>
      </c>
      <c r="DC6" t="s">
        <v>377</v>
      </c>
      <c r="DD6">
        <v>0</v>
      </c>
      <c r="DE6">
        <f t="shared" si="24"/>
        <v>0</v>
      </c>
      <c r="DG6">
        <v>0</v>
      </c>
      <c r="DH6">
        <f t="shared" si="25"/>
        <v>0</v>
      </c>
      <c r="DJ6">
        <v>0</v>
      </c>
      <c r="DK6">
        <f t="shared" si="26"/>
        <v>0</v>
      </c>
      <c r="DM6">
        <v>3</v>
      </c>
      <c r="DN6">
        <f t="shared" si="27"/>
        <v>1.5075376884422109</v>
      </c>
      <c r="DR6" s="36" t="s">
        <v>713</v>
      </c>
      <c r="DS6" t="s">
        <v>239</v>
      </c>
      <c r="DT6">
        <v>1</v>
      </c>
      <c r="DU6">
        <f t="shared" si="28"/>
        <v>0.5988023952095809</v>
      </c>
      <c r="DW6">
        <v>0</v>
      </c>
      <c r="DX6">
        <f t="shared" si="29"/>
        <v>0</v>
      </c>
      <c r="DZ6">
        <v>0</v>
      </c>
      <c r="EA6">
        <f t="shared" si="30"/>
        <v>0</v>
      </c>
      <c r="EF6" s="28" t="s">
        <v>713</v>
      </c>
      <c r="EG6" s="28" t="s">
        <v>354</v>
      </c>
      <c r="EH6" s="28">
        <v>9</v>
      </c>
      <c r="EI6" s="28">
        <f>EH6/197*100</f>
        <v>4.5685279187817258</v>
      </c>
      <c r="EJ6" s="28"/>
      <c r="EK6" s="28">
        <v>5</v>
      </c>
      <c r="EL6" s="28">
        <f>EK6/145*100</f>
        <v>3.4482758620689653</v>
      </c>
      <c r="EM6" s="28"/>
      <c r="EN6" s="28">
        <v>8</v>
      </c>
      <c r="EO6" s="28">
        <f t="shared" si="31"/>
        <v>4.8192771084337354</v>
      </c>
      <c r="EP6" s="28"/>
      <c r="EQ6" s="28">
        <v>7</v>
      </c>
      <c r="ER6">
        <f t="shared" si="32"/>
        <v>7.0000000000000009</v>
      </c>
    </row>
    <row r="7" spans="1:148" x14ac:dyDescent="0.25">
      <c r="A7" s="36" t="s">
        <v>713</v>
      </c>
      <c r="B7" t="s">
        <v>104</v>
      </c>
      <c r="C7">
        <v>55</v>
      </c>
      <c r="D7">
        <f t="shared" si="2"/>
        <v>7.5653370013755161</v>
      </c>
      <c r="G7" s="36" t="s">
        <v>713</v>
      </c>
      <c r="H7" t="s">
        <v>71</v>
      </c>
      <c r="I7">
        <v>47</v>
      </c>
      <c r="J7">
        <f t="shared" si="3"/>
        <v>4.9735449735449739</v>
      </c>
      <c r="M7" s="9" t="s">
        <v>713</v>
      </c>
      <c r="N7" s="9" t="s">
        <v>115</v>
      </c>
      <c r="O7" s="9">
        <v>15</v>
      </c>
      <c r="P7" s="9">
        <f t="shared" si="4"/>
        <v>3.2397408207343417</v>
      </c>
      <c r="Q7" s="9"/>
      <c r="R7" s="9">
        <v>17</v>
      </c>
      <c r="S7" s="9">
        <f t="shared" si="5"/>
        <v>6.8825910931174086</v>
      </c>
      <c r="T7" s="9"/>
      <c r="U7" s="9">
        <v>38</v>
      </c>
      <c r="V7" s="9">
        <f t="shared" si="6"/>
        <v>13.669064748201439</v>
      </c>
      <c r="W7" s="9"/>
      <c r="X7" s="9">
        <v>0</v>
      </c>
      <c r="Y7">
        <f t="shared" si="7"/>
        <v>0</v>
      </c>
      <c r="AC7" s="36" t="s">
        <v>713</v>
      </c>
      <c r="AD7" s="26" t="s">
        <v>134</v>
      </c>
      <c r="AE7">
        <v>5</v>
      </c>
      <c r="AF7">
        <f t="shared" si="0"/>
        <v>1.8050541516245486</v>
      </c>
      <c r="AH7">
        <v>1</v>
      </c>
      <c r="AI7">
        <f t="shared" si="8"/>
        <v>0.52356020942408377</v>
      </c>
      <c r="AK7">
        <v>7</v>
      </c>
      <c r="AL7">
        <f t="shared" si="9"/>
        <v>3.3816425120772946</v>
      </c>
      <c r="AN7">
        <v>3</v>
      </c>
      <c r="AO7">
        <f t="shared" si="10"/>
        <v>1.6666666666666667</v>
      </c>
      <c r="AS7" s="36" t="s">
        <v>712</v>
      </c>
      <c r="AT7" s="27" t="s">
        <v>660</v>
      </c>
      <c r="AU7" s="9">
        <v>3</v>
      </c>
      <c r="AV7">
        <f t="shared" si="11"/>
        <v>0.11001100110011</v>
      </c>
      <c r="AY7" t="s">
        <v>713</v>
      </c>
      <c r="AZ7" t="s">
        <v>161</v>
      </c>
      <c r="BA7">
        <v>573</v>
      </c>
      <c r="BB7">
        <f t="shared" si="12"/>
        <v>20.154766092156173</v>
      </c>
      <c r="BD7">
        <v>19</v>
      </c>
      <c r="BE7">
        <f t="shared" si="13"/>
        <v>1.2377850162866448</v>
      </c>
      <c r="BG7">
        <v>31</v>
      </c>
      <c r="BH7">
        <f t="shared" si="14"/>
        <v>7.045454545454545</v>
      </c>
      <c r="BJ7">
        <v>1</v>
      </c>
      <c r="BK7">
        <f t="shared" si="15"/>
        <v>0.3401360544217687</v>
      </c>
      <c r="BO7" s="36" t="s">
        <v>713</v>
      </c>
      <c r="BP7" t="s">
        <v>87</v>
      </c>
      <c r="BQ7">
        <v>11</v>
      </c>
      <c r="BR7">
        <f t="shared" si="1"/>
        <v>0.32023289665211063</v>
      </c>
      <c r="BT7">
        <v>7</v>
      </c>
      <c r="BU7">
        <f t="shared" si="16"/>
        <v>2.2653721682847898</v>
      </c>
      <c r="BW7">
        <v>10</v>
      </c>
      <c r="BX7">
        <f t="shared" si="17"/>
        <v>0.62073246430788331</v>
      </c>
      <c r="BZ7">
        <v>12</v>
      </c>
      <c r="CA7">
        <f t="shared" si="18"/>
        <v>5.4054054054054053</v>
      </c>
      <c r="CE7" s="36" t="s">
        <v>712</v>
      </c>
      <c r="CF7" t="s">
        <v>299</v>
      </c>
      <c r="CG7">
        <v>0</v>
      </c>
      <c r="CH7">
        <f t="shared" si="19"/>
        <v>0</v>
      </c>
      <c r="CJ7">
        <v>0</v>
      </c>
      <c r="CK7">
        <f t="shared" si="20"/>
        <v>0</v>
      </c>
      <c r="CM7">
        <v>1</v>
      </c>
      <c r="CN7">
        <f t="shared" si="21"/>
        <v>3.741114852225963E-2</v>
      </c>
      <c r="CP7">
        <v>0</v>
      </c>
      <c r="CQ7">
        <f t="shared" si="22"/>
        <v>0</v>
      </c>
      <c r="CU7" s="36" t="s">
        <v>713</v>
      </c>
      <c r="CV7" t="s">
        <v>357</v>
      </c>
      <c r="CW7">
        <v>12</v>
      </c>
      <c r="CX7">
        <f t="shared" si="23"/>
        <v>1.5384615384615385</v>
      </c>
      <c r="DB7" t="s">
        <v>713</v>
      </c>
      <c r="DC7" t="s">
        <v>354</v>
      </c>
      <c r="DD7">
        <v>14</v>
      </c>
      <c r="DE7">
        <f t="shared" si="24"/>
        <v>11.76470588235294</v>
      </c>
      <c r="DG7">
        <v>14</v>
      </c>
      <c r="DH7">
        <f t="shared" si="25"/>
        <v>10.071942446043165</v>
      </c>
      <c r="DJ7">
        <v>57</v>
      </c>
      <c r="DK7">
        <f t="shared" si="26"/>
        <v>14.467005076142131</v>
      </c>
      <c r="DM7">
        <v>23</v>
      </c>
      <c r="DN7">
        <f t="shared" si="27"/>
        <v>11.557788944723619</v>
      </c>
      <c r="DR7" s="36" t="s">
        <v>713</v>
      </c>
      <c r="DS7" t="s">
        <v>164</v>
      </c>
      <c r="DT7">
        <v>9</v>
      </c>
      <c r="DU7">
        <f t="shared" si="28"/>
        <v>5.3892215568862278</v>
      </c>
      <c r="DW7">
        <v>5</v>
      </c>
      <c r="DX7">
        <f t="shared" si="29"/>
        <v>1.893939393939394</v>
      </c>
      <c r="DZ7">
        <v>10</v>
      </c>
      <c r="EA7">
        <f t="shared" si="30"/>
        <v>3.2467532467532463</v>
      </c>
      <c r="EF7" s="28" t="s">
        <v>713</v>
      </c>
      <c r="EG7" s="28" t="s">
        <v>164</v>
      </c>
      <c r="EH7" s="28">
        <v>1</v>
      </c>
      <c r="EI7" s="28">
        <f>EH7/197*100</f>
        <v>0.50761421319796951</v>
      </c>
      <c r="EJ7" s="28"/>
      <c r="EK7" s="28">
        <v>7</v>
      </c>
      <c r="EL7" s="28">
        <f>EK7/145*100</f>
        <v>4.8275862068965516</v>
      </c>
      <c r="EM7" s="28"/>
      <c r="EN7" s="28">
        <v>0</v>
      </c>
      <c r="EO7" s="28">
        <f t="shared" si="31"/>
        <v>0</v>
      </c>
      <c r="EP7" s="28"/>
      <c r="EQ7" s="28">
        <v>0</v>
      </c>
      <c r="ER7">
        <f t="shared" si="32"/>
        <v>0</v>
      </c>
    </row>
    <row r="8" spans="1:148" x14ac:dyDescent="0.25">
      <c r="A8" s="36" t="s">
        <v>713</v>
      </c>
      <c r="B8" t="s">
        <v>116</v>
      </c>
      <c r="C8">
        <v>112</v>
      </c>
      <c r="D8">
        <f t="shared" si="2"/>
        <v>15.405777166437415</v>
      </c>
      <c r="G8" s="36" t="s">
        <v>713</v>
      </c>
      <c r="H8" s="1" t="s">
        <v>49</v>
      </c>
      <c r="I8">
        <v>3</v>
      </c>
      <c r="J8">
        <f t="shared" si="3"/>
        <v>0.31746031746031744</v>
      </c>
      <c r="M8" s="9" t="s">
        <v>713</v>
      </c>
      <c r="N8" s="30" t="s">
        <v>184</v>
      </c>
      <c r="O8" s="9">
        <v>55</v>
      </c>
      <c r="P8" s="9">
        <f t="shared" si="4"/>
        <v>11.879049676025918</v>
      </c>
      <c r="Q8" s="9"/>
      <c r="R8" s="9">
        <v>45</v>
      </c>
      <c r="S8" s="9">
        <f t="shared" si="5"/>
        <v>18.218623481781375</v>
      </c>
      <c r="T8" s="9"/>
      <c r="U8" s="9">
        <v>9</v>
      </c>
      <c r="V8" s="9">
        <f t="shared" si="6"/>
        <v>3.2374100719424459</v>
      </c>
      <c r="W8" s="9"/>
      <c r="X8" s="9">
        <v>30</v>
      </c>
      <c r="Y8">
        <f t="shared" si="7"/>
        <v>29.411764705882355</v>
      </c>
      <c r="AC8" s="36" t="s">
        <v>713</v>
      </c>
      <c r="AD8" s="26" t="s">
        <v>21</v>
      </c>
      <c r="AE8">
        <v>27</v>
      </c>
      <c r="AF8">
        <f t="shared" si="0"/>
        <v>9.7472924187725631</v>
      </c>
      <c r="AH8">
        <v>22</v>
      </c>
      <c r="AI8">
        <f t="shared" si="8"/>
        <v>11.518324607329843</v>
      </c>
      <c r="AK8">
        <v>3</v>
      </c>
      <c r="AL8">
        <f t="shared" si="9"/>
        <v>1.4492753623188406</v>
      </c>
      <c r="AN8">
        <v>8</v>
      </c>
      <c r="AO8">
        <f t="shared" si="10"/>
        <v>4.4444444444444446</v>
      </c>
      <c r="AS8" s="36" t="s">
        <v>712</v>
      </c>
      <c r="AT8" s="27" t="s">
        <v>669</v>
      </c>
      <c r="AU8" s="9">
        <v>30</v>
      </c>
      <c r="AV8">
        <f t="shared" si="11"/>
        <v>1.1001100110011002</v>
      </c>
      <c r="AY8" s="36" t="s">
        <v>713</v>
      </c>
      <c r="AZ8" t="s">
        <v>87</v>
      </c>
      <c r="BA8">
        <v>31</v>
      </c>
      <c r="BB8">
        <f t="shared" si="12"/>
        <v>1.0903974674639465</v>
      </c>
      <c r="BD8">
        <v>5</v>
      </c>
      <c r="BE8">
        <f t="shared" si="13"/>
        <v>0.32573289902280134</v>
      </c>
      <c r="BG8">
        <v>6</v>
      </c>
      <c r="BH8">
        <f t="shared" si="14"/>
        <v>1.3636363636363635</v>
      </c>
      <c r="BJ8">
        <v>5</v>
      </c>
      <c r="BK8">
        <f t="shared" si="15"/>
        <v>1.7006802721088436</v>
      </c>
      <c r="BO8" s="36" t="s">
        <v>713</v>
      </c>
      <c r="BP8" t="s">
        <v>164</v>
      </c>
      <c r="BQ8">
        <v>38</v>
      </c>
      <c r="BR8">
        <f t="shared" si="1"/>
        <v>1.1062590975254729</v>
      </c>
      <c r="BT8">
        <v>31</v>
      </c>
      <c r="BU8">
        <f t="shared" si="16"/>
        <v>10.032362459546926</v>
      </c>
      <c r="BW8">
        <v>12</v>
      </c>
      <c r="BX8">
        <f t="shared" si="17"/>
        <v>0.74487895716945995</v>
      </c>
      <c r="BZ8">
        <v>31</v>
      </c>
      <c r="CA8">
        <f t="shared" si="18"/>
        <v>13.963963963963963</v>
      </c>
      <c r="CE8" s="36" t="s">
        <v>712</v>
      </c>
      <c r="CF8" s="1" t="s">
        <v>301</v>
      </c>
      <c r="CG8">
        <v>0</v>
      </c>
      <c r="CH8">
        <f t="shared" si="19"/>
        <v>0</v>
      </c>
      <c r="CJ8">
        <v>0</v>
      </c>
      <c r="CK8">
        <f t="shared" si="20"/>
        <v>0</v>
      </c>
      <c r="CM8">
        <v>0</v>
      </c>
      <c r="CN8">
        <f t="shared" si="21"/>
        <v>0</v>
      </c>
      <c r="CP8">
        <v>1</v>
      </c>
      <c r="CQ8">
        <f t="shared" si="22"/>
        <v>3.8182512409316534E-2</v>
      </c>
      <c r="CU8" s="36" t="s">
        <v>713</v>
      </c>
      <c r="CV8" t="s">
        <v>196</v>
      </c>
      <c r="CW8">
        <v>3</v>
      </c>
      <c r="CX8">
        <f t="shared" si="23"/>
        <v>0.38461538461538464</v>
      </c>
      <c r="DB8" s="36" t="s">
        <v>713</v>
      </c>
      <c r="DC8" t="s">
        <v>239</v>
      </c>
      <c r="DD8">
        <v>4</v>
      </c>
      <c r="DE8">
        <f t="shared" si="24"/>
        <v>3.3613445378151261</v>
      </c>
      <c r="DG8">
        <v>1</v>
      </c>
      <c r="DH8">
        <f t="shared" si="25"/>
        <v>0.71942446043165476</v>
      </c>
      <c r="DJ8">
        <v>3</v>
      </c>
      <c r="DK8">
        <f t="shared" si="26"/>
        <v>0.76142131979695438</v>
      </c>
      <c r="DM8">
        <v>1</v>
      </c>
      <c r="DN8">
        <f t="shared" si="27"/>
        <v>0.50251256281407031</v>
      </c>
      <c r="DR8" s="36" t="s">
        <v>713</v>
      </c>
      <c r="DS8" t="s">
        <v>357</v>
      </c>
      <c r="DT8">
        <v>4</v>
      </c>
      <c r="DU8">
        <f t="shared" si="28"/>
        <v>2.3952095808383236</v>
      </c>
      <c r="DW8">
        <v>3</v>
      </c>
      <c r="DX8">
        <f t="shared" si="29"/>
        <v>1.1363636363636365</v>
      </c>
      <c r="DZ8">
        <v>4</v>
      </c>
      <c r="EA8">
        <f t="shared" si="30"/>
        <v>1.2987012987012987</v>
      </c>
      <c r="EF8" s="28" t="s">
        <v>713</v>
      </c>
      <c r="EG8" s="28" t="s">
        <v>355</v>
      </c>
      <c r="EH8" s="28">
        <v>1</v>
      </c>
      <c r="EI8" s="28">
        <f>EH8/197*100</f>
        <v>0.50761421319796951</v>
      </c>
      <c r="EJ8" s="28"/>
      <c r="EK8" s="28">
        <v>0</v>
      </c>
      <c r="EL8" s="28">
        <f>EK8/145*100</f>
        <v>0</v>
      </c>
      <c r="EM8" s="28"/>
      <c r="EN8" s="28">
        <v>1</v>
      </c>
      <c r="EO8" s="28">
        <f t="shared" si="31"/>
        <v>0.60240963855421692</v>
      </c>
      <c r="EP8" s="28"/>
      <c r="EQ8" s="28">
        <v>1</v>
      </c>
      <c r="ER8">
        <f t="shared" si="32"/>
        <v>1</v>
      </c>
    </row>
    <row r="9" spans="1:148" x14ac:dyDescent="0.25">
      <c r="A9" s="36" t="s">
        <v>713</v>
      </c>
      <c r="B9" t="s">
        <v>313</v>
      </c>
      <c r="C9">
        <v>8</v>
      </c>
      <c r="D9">
        <f t="shared" si="2"/>
        <v>1.1004126547455295</v>
      </c>
      <c r="G9" s="36" t="s">
        <v>713</v>
      </c>
      <c r="H9" t="s">
        <v>72</v>
      </c>
      <c r="I9">
        <v>31</v>
      </c>
      <c r="J9">
        <f t="shared" si="3"/>
        <v>3.28042328042328</v>
      </c>
      <c r="M9" s="9" t="s">
        <v>713</v>
      </c>
      <c r="N9" s="30" t="s">
        <v>75</v>
      </c>
      <c r="O9" s="9">
        <v>38</v>
      </c>
      <c r="P9" s="9">
        <f t="shared" si="4"/>
        <v>8.2073434125269973</v>
      </c>
      <c r="Q9" s="9"/>
      <c r="R9" s="9">
        <v>12</v>
      </c>
      <c r="S9" s="9">
        <f t="shared" si="5"/>
        <v>4.8582995951417001</v>
      </c>
      <c r="T9" s="9"/>
      <c r="U9" s="9">
        <v>30</v>
      </c>
      <c r="V9" s="9">
        <f t="shared" si="6"/>
        <v>10.791366906474821</v>
      </c>
      <c r="W9" s="9"/>
      <c r="X9" s="9">
        <v>0</v>
      </c>
      <c r="Y9">
        <f t="shared" si="7"/>
        <v>0</v>
      </c>
      <c r="AC9" s="36" t="s">
        <v>713</v>
      </c>
      <c r="AD9" s="26" t="s">
        <v>37</v>
      </c>
      <c r="AE9">
        <v>37</v>
      </c>
      <c r="AF9">
        <f t="shared" si="0"/>
        <v>13.357400722021662</v>
      </c>
      <c r="AH9">
        <v>7</v>
      </c>
      <c r="AI9">
        <f t="shared" si="8"/>
        <v>3.664921465968586</v>
      </c>
      <c r="AK9">
        <v>10</v>
      </c>
      <c r="AL9">
        <f t="shared" si="9"/>
        <v>4.8309178743961354</v>
      </c>
      <c r="AN9">
        <v>8</v>
      </c>
      <c r="AO9">
        <f t="shared" si="10"/>
        <v>4.4444444444444446</v>
      </c>
      <c r="AS9" s="36" t="s">
        <v>712</v>
      </c>
      <c r="AT9" s="27" t="s">
        <v>670</v>
      </c>
      <c r="AU9" s="9">
        <v>5</v>
      </c>
      <c r="AV9">
        <f t="shared" si="11"/>
        <v>0.18335166850018336</v>
      </c>
      <c r="AY9" s="36" t="s">
        <v>713</v>
      </c>
      <c r="AZ9" t="s">
        <v>164</v>
      </c>
      <c r="BA9">
        <v>50</v>
      </c>
      <c r="BB9">
        <f t="shared" si="12"/>
        <v>1.7587055926837847</v>
      </c>
      <c r="BD9">
        <v>18</v>
      </c>
      <c r="BE9">
        <f t="shared" si="13"/>
        <v>1.1726384364820848</v>
      </c>
      <c r="BG9">
        <v>34</v>
      </c>
      <c r="BH9">
        <f t="shared" si="14"/>
        <v>7.7272727272727266</v>
      </c>
      <c r="BJ9">
        <v>18</v>
      </c>
      <c r="BK9">
        <f t="shared" si="15"/>
        <v>6.1224489795918364</v>
      </c>
      <c r="BO9" s="36" t="s">
        <v>713</v>
      </c>
      <c r="BP9" t="s">
        <v>247</v>
      </c>
      <c r="BQ9">
        <v>0</v>
      </c>
      <c r="BR9">
        <f t="shared" si="1"/>
        <v>0</v>
      </c>
      <c r="BT9">
        <v>5</v>
      </c>
      <c r="BU9">
        <f t="shared" si="16"/>
        <v>1.6181229773462782</v>
      </c>
      <c r="BW9">
        <v>0</v>
      </c>
      <c r="BX9">
        <f t="shared" si="17"/>
        <v>0</v>
      </c>
      <c r="BZ9">
        <v>0</v>
      </c>
      <c r="CA9">
        <f t="shared" si="18"/>
        <v>0</v>
      </c>
      <c r="CE9" t="s">
        <v>713</v>
      </c>
      <c r="CF9" t="s">
        <v>87</v>
      </c>
      <c r="CG9">
        <v>25</v>
      </c>
      <c r="CH9">
        <f t="shared" si="19"/>
        <v>10.91703056768559</v>
      </c>
      <c r="CJ9">
        <v>13</v>
      </c>
      <c r="CK9">
        <f t="shared" si="20"/>
        <v>2.9082774049217002</v>
      </c>
      <c r="CM9">
        <v>21</v>
      </c>
      <c r="CN9">
        <f t="shared" si="21"/>
        <v>0.78563411896745239</v>
      </c>
      <c r="CP9">
        <v>27</v>
      </c>
      <c r="CQ9">
        <f t="shared" si="22"/>
        <v>1.0309278350515463</v>
      </c>
      <c r="CU9" s="36" t="s">
        <v>713</v>
      </c>
      <c r="CV9" t="s">
        <v>358</v>
      </c>
      <c r="CW9">
        <v>1</v>
      </c>
      <c r="CX9">
        <f t="shared" si="23"/>
        <v>0.12820512820512819</v>
      </c>
      <c r="DB9" s="36" t="s">
        <v>713</v>
      </c>
      <c r="DC9" t="s">
        <v>164</v>
      </c>
      <c r="DD9">
        <v>38</v>
      </c>
      <c r="DE9">
        <f t="shared" si="24"/>
        <v>31.932773109243694</v>
      </c>
      <c r="DG9">
        <v>35</v>
      </c>
      <c r="DH9">
        <f t="shared" si="25"/>
        <v>25.179856115107913</v>
      </c>
      <c r="DJ9">
        <v>50</v>
      </c>
      <c r="DK9">
        <f t="shared" si="26"/>
        <v>12.690355329949238</v>
      </c>
      <c r="DM9">
        <v>53</v>
      </c>
      <c r="DN9">
        <f t="shared" si="27"/>
        <v>26.633165829145728</v>
      </c>
      <c r="DR9" s="36" t="s">
        <v>713</v>
      </c>
      <c r="DS9" t="s">
        <v>196</v>
      </c>
      <c r="DT9">
        <v>11</v>
      </c>
      <c r="DU9">
        <f t="shared" si="28"/>
        <v>6.5868263473053901</v>
      </c>
      <c r="DW9">
        <v>28</v>
      </c>
      <c r="DX9">
        <f t="shared" si="29"/>
        <v>10.606060606060606</v>
      </c>
      <c r="DZ9">
        <v>60</v>
      </c>
      <c r="EA9">
        <f t="shared" si="30"/>
        <v>19.480519480519483</v>
      </c>
      <c r="EF9" s="28" t="s">
        <v>713</v>
      </c>
      <c r="EG9" s="28" t="s">
        <v>357</v>
      </c>
      <c r="EH9" s="28">
        <v>6</v>
      </c>
      <c r="EI9" s="28">
        <f>EH9/197*100</f>
        <v>3.0456852791878175</v>
      </c>
      <c r="EJ9" s="28"/>
      <c r="EK9" s="28">
        <v>6</v>
      </c>
      <c r="EL9" s="28">
        <f>EK9/145*100</f>
        <v>4.1379310344827589</v>
      </c>
      <c r="EM9" s="28"/>
      <c r="EN9" s="28">
        <v>4</v>
      </c>
      <c r="EO9" s="28">
        <f t="shared" si="31"/>
        <v>2.4096385542168677</v>
      </c>
      <c r="EP9" s="28"/>
      <c r="EQ9" s="28">
        <v>2</v>
      </c>
      <c r="ER9">
        <f t="shared" si="32"/>
        <v>2</v>
      </c>
    </row>
    <row r="10" spans="1:148" x14ac:dyDescent="0.25">
      <c r="A10" s="36" t="s">
        <v>713</v>
      </c>
      <c r="B10" t="s">
        <v>314</v>
      </c>
      <c r="C10">
        <v>73</v>
      </c>
      <c r="D10">
        <f t="shared" si="2"/>
        <v>10.041265474552958</v>
      </c>
      <c r="G10" s="36" t="s">
        <v>713</v>
      </c>
      <c r="H10" s="1" t="s">
        <v>50</v>
      </c>
      <c r="I10">
        <v>115</v>
      </c>
      <c r="J10">
        <f t="shared" si="3"/>
        <v>12.169312169312169</v>
      </c>
      <c r="M10" s="9" t="s">
        <v>713</v>
      </c>
      <c r="N10" s="30" t="s">
        <v>185</v>
      </c>
      <c r="O10" s="9">
        <v>10</v>
      </c>
      <c r="P10" s="9">
        <f t="shared" si="4"/>
        <v>2.159827213822894</v>
      </c>
      <c r="Q10" s="9"/>
      <c r="R10" s="9">
        <v>5</v>
      </c>
      <c r="S10" s="9">
        <f t="shared" si="5"/>
        <v>2.0242914979757085</v>
      </c>
      <c r="T10" s="9"/>
      <c r="U10" s="9">
        <v>1</v>
      </c>
      <c r="V10" s="9">
        <f t="shared" si="6"/>
        <v>0.35971223021582738</v>
      </c>
      <c r="W10" s="9"/>
      <c r="X10" s="9">
        <v>0</v>
      </c>
      <c r="Y10">
        <f t="shared" si="7"/>
        <v>0</v>
      </c>
      <c r="AC10" s="36" t="s">
        <v>713</v>
      </c>
      <c r="AD10" s="26" t="s">
        <v>19</v>
      </c>
      <c r="AE10">
        <v>22</v>
      </c>
      <c r="AF10">
        <f t="shared" si="0"/>
        <v>7.9422382671480145</v>
      </c>
      <c r="AH10">
        <v>22</v>
      </c>
      <c r="AI10">
        <f t="shared" si="8"/>
        <v>11.518324607329843</v>
      </c>
      <c r="AK10">
        <v>11</v>
      </c>
      <c r="AL10">
        <f t="shared" si="9"/>
        <v>5.3140096618357484</v>
      </c>
      <c r="AN10">
        <v>12</v>
      </c>
      <c r="AO10">
        <f t="shared" si="10"/>
        <v>6.666666666666667</v>
      </c>
      <c r="AS10" t="s">
        <v>713</v>
      </c>
      <c r="AT10" s="27" t="s">
        <v>628</v>
      </c>
      <c r="AU10" s="9">
        <v>19</v>
      </c>
      <c r="AV10">
        <f t="shared" si="11"/>
        <v>0.69673634030069675</v>
      </c>
      <c r="AY10" s="36" t="s">
        <v>713</v>
      </c>
      <c r="AZ10" t="s">
        <v>247</v>
      </c>
      <c r="BA10">
        <v>67</v>
      </c>
      <c r="BB10">
        <f t="shared" si="12"/>
        <v>2.3566654941962715</v>
      </c>
      <c r="BD10">
        <v>2</v>
      </c>
      <c r="BE10">
        <f t="shared" si="13"/>
        <v>0.13029315960912052</v>
      </c>
      <c r="BG10">
        <v>1</v>
      </c>
      <c r="BH10">
        <f t="shared" si="14"/>
        <v>0.22727272727272727</v>
      </c>
      <c r="BJ10">
        <v>0</v>
      </c>
      <c r="BK10">
        <f t="shared" si="15"/>
        <v>0</v>
      </c>
      <c r="BO10" s="36" t="s">
        <v>713</v>
      </c>
      <c r="BP10" t="s">
        <v>72</v>
      </c>
      <c r="BQ10">
        <v>12</v>
      </c>
      <c r="BR10">
        <f t="shared" si="1"/>
        <v>0.34934497816593885</v>
      </c>
      <c r="BT10">
        <v>14</v>
      </c>
      <c r="BU10">
        <f t="shared" si="16"/>
        <v>4.5307443365695796</v>
      </c>
      <c r="BW10">
        <v>2</v>
      </c>
      <c r="BX10">
        <f t="shared" si="17"/>
        <v>0.12414649286157665</v>
      </c>
      <c r="BZ10">
        <v>3</v>
      </c>
      <c r="CA10">
        <f t="shared" si="18"/>
        <v>1.3513513513513513</v>
      </c>
      <c r="CE10" s="36" t="s">
        <v>713</v>
      </c>
      <c r="CF10" s="1" t="s">
        <v>239</v>
      </c>
      <c r="CG10">
        <v>1</v>
      </c>
      <c r="CH10">
        <f t="shared" si="19"/>
        <v>0.43668122270742354</v>
      </c>
      <c r="CJ10">
        <v>2</v>
      </c>
      <c r="CK10">
        <f t="shared" si="20"/>
        <v>0.44742729306487694</v>
      </c>
      <c r="CM10">
        <v>4</v>
      </c>
      <c r="CN10">
        <f t="shared" si="21"/>
        <v>0.14964459408903852</v>
      </c>
      <c r="CP10">
        <v>7</v>
      </c>
      <c r="CQ10">
        <f t="shared" si="22"/>
        <v>0.26727758686521574</v>
      </c>
      <c r="CU10" s="36" t="s">
        <v>713</v>
      </c>
      <c r="CV10" t="s">
        <v>359</v>
      </c>
      <c r="CW10">
        <v>7</v>
      </c>
      <c r="CX10">
        <f t="shared" si="23"/>
        <v>0.89743589743589736</v>
      </c>
      <c r="DB10" s="36" t="s">
        <v>713</v>
      </c>
      <c r="DC10" t="s">
        <v>355</v>
      </c>
      <c r="DD10">
        <v>1</v>
      </c>
      <c r="DE10">
        <f t="shared" si="24"/>
        <v>0.84033613445378152</v>
      </c>
      <c r="DG10">
        <v>2</v>
      </c>
      <c r="DH10">
        <f t="shared" si="25"/>
        <v>1.4388489208633095</v>
      </c>
      <c r="DJ10">
        <v>0</v>
      </c>
      <c r="DK10">
        <f t="shared" si="26"/>
        <v>0</v>
      </c>
      <c r="DM10">
        <v>0</v>
      </c>
      <c r="DN10">
        <f t="shared" si="27"/>
        <v>0</v>
      </c>
      <c r="DR10" s="36" t="s">
        <v>713</v>
      </c>
      <c r="DS10" t="s">
        <v>358</v>
      </c>
      <c r="DT10">
        <v>4</v>
      </c>
      <c r="DU10">
        <f t="shared" si="28"/>
        <v>2.3952095808383236</v>
      </c>
      <c r="DW10">
        <v>10</v>
      </c>
      <c r="DX10">
        <f t="shared" si="29"/>
        <v>3.7878787878787881</v>
      </c>
      <c r="DZ10">
        <v>26</v>
      </c>
      <c r="EA10">
        <f t="shared" si="30"/>
        <v>8.4415584415584419</v>
      </c>
      <c r="EF10" s="28" t="s">
        <v>713</v>
      </c>
      <c r="EG10" s="28" t="s">
        <v>196</v>
      </c>
      <c r="EH10" s="28">
        <v>0</v>
      </c>
      <c r="EI10" s="28">
        <f>EH10/197*100</f>
        <v>0</v>
      </c>
      <c r="EJ10" s="28"/>
      <c r="EK10" s="28">
        <v>0</v>
      </c>
      <c r="EL10" s="28">
        <f>EK10/145*100</f>
        <v>0</v>
      </c>
      <c r="EM10" s="28"/>
      <c r="EN10" s="28">
        <v>6</v>
      </c>
      <c r="EO10" s="28">
        <f t="shared" si="31"/>
        <v>3.6144578313253009</v>
      </c>
      <c r="EP10" s="28"/>
      <c r="EQ10" s="28">
        <v>2</v>
      </c>
      <c r="ER10">
        <f t="shared" si="32"/>
        <v>2</v>
      </c>
    </row>
    <row r="11" spans="1:148" x14ac:dyDescent="0.25">
      <c r="A11" s="36" t="s">
        <v>713</v>
      </c>
      <c r="B11" t="s">
        <v>74</v>
      </c>
      <c r="C11">
        <v>137</v>
      </c>
      <c r="D11">
        <f t="shared" si="2"/>
        <v>18.844566712517192</v>
      </c>
      <c r="G11" s="36" t="s">
        <v>713</v>
      </c>
      <c r="H11" s="1" t="s">
        <v>73</v>
      </c>
      <c r="I11">
        <v>17</v>
      </c>
      <c r="J11">
        <f t="shared" si="3"/>
        <v>1.7989417989417988</v>
      </c>
      <c r="M11" s="9" t="s">
        <v>713</v>
      </c>
      <c r="N11" s="30" t="s">
        <v>187</v>
      </c>
      <c r="O11" s="9">
        <v>20</v>
      </c>
      <c r="P11" s="9">
        <f t="shared" si="4"/>
        <v>4.319654427645788</v>
      </c>
      <c r="Q11" s="9"/>
      <c r="R11" s="9">
        <v>0</v>
      </c>
      <c r="S11" s="9">
        <f t="shared" si="5"/>
        <v>0</v>
      </c>
      <c r="T11" s="9"/>
      <c r="U11" s="9">
        <v>0</v>
      </c>
      <c r="V11" s="9">
        <f t="shared" si="6"/>
        <v>0</v>
      </c>
      <c r="W11" s="9"/>
      <c r="X11" s="9">
        <v>0</v>
      </c>
      <c r="Y11">
        <f t="shared" si="7"/>
        <v>0</v>
      </c>
      <c r="AC11" s="36" t="s">
        <v>713</v>
      </c>
      <c r="AD11" s="26" t="s">
        <v>25</v>
      </c>
      <c r="AE11">
        <v>2</v>
      </c>
      <c r="AF11">
        <f t="shared" si="0"/>
        <v>0.72202166064981954</v>
      </c>
      <c r="AH11">
        <v>2</v>
      </c>
      <c r="AI11">
        <f t="shared" si="8"/>
        <v>1.0471204188481675</v>
      </c>
      <c r="AK11">
        <v>1</v>
      </c>
      <c r="AL11">
        <f t="shared" si="9"/>
        <v>0.48309178743961351</v>
      </c>
      <c r="AN11">
        <v>0</v>
      </c>
      <c r="AO11">
        <f t="shared" si="10"/>
        <v>0</v>
      </c>
      <c r="AS11" s="36" t="s">
        <v>713</v>
      </c>
      <c r="AT11" s="26" t="s">
        <v>630</v>
      </c>
      <c r="AU11" s="9">
        <v>79</v>
      </c>
      <c r="AV11">
        <f t="shared" si="11"/>
        <v>2.8969563623028969</v>
      </c>
      <c r="AY11" s="36" t="s">
        <v>713</v>
      </c>
      <c r="AZ11" t="s">
        <v>72</v>
      </c>
      <c r="BA11">
        <v>20</v>
      </c>
      <c r="BB11">
        <f t="shared" si="12"/>
        <v>0.70348223707351387</v>
      </c>
      <c r="BD11">
        <v>5</v>
      </c>
      <c r="BE11">
        <f t="shared" si="13"/>
        <v>0.32573289902280134</v>
      </c>
      <c r="BG11">
        <v>0</v>
      </c>
      <c r="BH11">
        <f t="shared" si="14"/>
        <v>0</v>
      </c>
      <c r="BJ11">
        <v>2</v>
      </c>
      <c r="BK11">
        <f t="shared" si="15"/>
        <v>0.68027210884353739</v>
      </c>
      <c r="BO11" s="36" t="s">
        <v>713</v>
      </c>
      <c r="BP11" s="1" t="s">
        <v>173</v>
      </c>
      <c r="BQ11">
        <v>7</v>
      </c>
      <c r="BR11">
        <f t="shared" si="1"/>
        <v>0.20378457059679767</v>
      </c>
      <c r="BT11">
        <v>5</v>
      </c>
      <c r="BU11">
        <f t="shared" si="16"/>
        <v>1.6181229773462782</v>
      </c>
      <c r="BW11">
        <v>2</v>
      </c>
      <c r="BX11">
        <f t="shared" si="17"/>
        <v>0.12414649286157665</v>
      </c>
      <c r="BZ11">
        <v>0</v>
      </c>
      <c r="CA11">
        <f t="shared" si="18"/>
        <v>0</v>
      </c>
      <c r="CE11" s="36" t="s">
        <v>713</v>
      </c>
      <c r="CF11" t="s">
        <v>164</v>
      </c>
      <c r="CG11">
        <v>22</v>
      </c>
      <c r="CH11">
        <f t="shared" si="19"/>
        <v>9.606986899563319</v>
      </c>
      <c r="CJ11">
        <v>81</v>
      </c>
      <c r="CK11">
        <f t="shared" si="20"/>
        <v>18.120805369127517</v>
      </c>
      <c r="CM11">
        <v>15</v>
      </c>
      <c r="CN11">
        <f t="shared" si="21"/>
        <v>0.5611672278338945</v>
      </c>
      <c r="CP11">
        <v>70</v>
      </c>
      <c r="CQ11">
        <f t="shared" si="22"/>
        <v>2.6727758686521574</v>
      </c>
      <c r="CU11" s="36" t="s">
        <v>713</v>
      </c>
      <c r="CV11" t="s">
        <v>360</v>
      </c>
      <c r="CW11">
        <v>1</v>
      </c>
      <c r="CX11">
        <f t="shared" si="23"/>
        <v>0.12820512820512819</v>
      </c>
      <c r="DB11" s="36" t="s">
        <v>713</v>
      </c>
      <c r="DC11" t="s">
        <v>357</v>
      </c>
      <c r="DD11">
        <v>1</v>
      </c>
      <c r="DE11">
        <f t="shared" si="24"/>
        <v>0.84033613445378152</v>
      </c>
      <c r="DG11">
        <v>8</v>
      </c>
      <c r="DH11">
        <f t="shared" si="25"/>
        <v>5.755395683453238</v>
      </c>
      <c r="DJ11">
        <v>16</v>
      </c>
      <c r="DK11">
        <f t="shared" si="26"/>
        <v>4.0609137055837561</v>
      </c>
      <c r="DM11">
        <v>4</v>
      </c>
      <c r="DN11">
        <f t="shared" si="27"/>
        <v>2.0100502512562812</v>
      </c>
      <c r="DR11" s="36" t="s">
        <v>713</v>
      </c>
      <c r="DS11" t="s">
        <v>359</v>
      </c>
      <c r="DT11">
        <v>30</v>
      </c>
      <c r="DU11">
        <f t="shared" si="28"/>
        <v>17.964071856287426</v>
      </c>
      <c r="DW11">
        <v>37</v>
      </c>
      <c r="DX11">
        <f t="shared" si="29"/>
        <v>14.015151515151514</v>
      </c>
      <c r="DZ11">
        <v>6</v>
      </c>
      <c r="EA11">
        <f t="shared" si="30"/>
        <v>1.948051948051948</v>
      </c>
      <c r="EF11" s="28" t="s">
        <v>713</v>
      </c>
      <c r="EG11" s="28" t="s">
        <v>358</v>
      </c>
      <c r="EH11" s="28">
        <v>0</v>
      </c>
      <c r="EI11" s="28">
        <f>EH11/197*100</f>
        <v>0</v>
      </c>
      <c r="EJ11" s="28"/>
      <c r="EK11" s="28">
        <v>0</v>
      </c>
      <c r="EL11" s="28">
        <f>EK11/145*100</f>
        <v>0</v>
      </c>
      <c r="EM11" s="28"/>
      <c r="EN11" s="28">
        <v>1</v>
      </c>
      <c r="EO11" s="28">
        <f t="shared" si="31"/>
        <v>0.60240963855421692</v>
      </c>
      <c r="EP11" s="28"/>
      <c r="EQ11" s="28">
        <v>1</v>
      </c>
      <c r="ER11">
        <f t="shared" si="32"/>
        <v>1</v>
      </c>
    </row>
    <row r="12" spans="1:148" x14ac:dyDescent="0.25">
      <c r="A12" s="36" t="s">
        <v>713</v>
      </c>
      <c r="B12" t="s">
        <v>109</v>
      </c>
      <c r="C12">
        <v>19</v>
      </c>
      <c r="D12">
        <f t="shared" si="2"/>
        <v>2.613480055020633</v>
      </c>
      <c r="G12" s="36" t="s">
        <v>713</v>
      </c>
      <c r="H12" t="s">
        <v>74</v>
      </c>
      <c r="I12">
        <v>29</v>
      </c>
      <c r="J12">
        <f t="shared" si="3"/>
        <v>3.0687830687830688</v>
      </c>
      <c r="M12" s="9" t="s">
        <v>713</v>
      </c>
      <c r="N12" s="30" t="s">
        <v>188</v>
      </c>
      <c r="O12" s="9">
        <v>13</v>
      </c>
      <c r="P12" s="9">
        <f t="shared" si="4"/>
        <v>2.8077753779697625</v>
      </c>
      <c r="Q12" s="9"/>
      <c r="R12" s="9">
        <v>0</v>
      </c>
      <c r="S12" s="9">
        <f t="shared" si="5"/>
        <v>0</v>
      </c>
      <c r="T12" s="9"/>
      <c r="U12" s="9">
        <v>0</v>
      </c>
      <c r="V12" s="9">
        <f t="shared" si="6"/>
        <v>0</v>
      </c>
      <c r="W12" s="9"/>
      <c r="X12" s="9">
        <v>0</v>
      </c>
      <c r="Y12">
        <f t="shared" si="7"/>
        <v>0</v>
      </c>
      <c r="AC12" s="36" t="s">
        <v>713</v>
      </c>
      <c r="AD12" s="26" t="s">
        <v>11</v>
      </c>
      <c r="AE12">
        <v>3</v>
      </c>
      <c r="AF12">
        <f t="shared" si="0"/>
        <v>1.0830324909747291</v>
      </c>
      <c r="AH12">
        <v>11</v>
      </c>
      <c r="AI12">
        <f t="shared" si="8"/>
        <v>5.7591623036649215</v>
      </c>
      <c r="AK12">
        <v>18</v>
      </c>
      <c r="AL12">
        <f t="shared" si="9"/>
        <v>8.695652173913043</v>
      </c>
      <c r="AN12">
        <v>2</v>
      </c>
      <c r="AO12">
        <f t="shared" si="10"/>
        <v>1.1111111111111112</v>
      </c>
      <c r="AS12" s="36" t="s">
        <v>713</v>
      </c>
      <c r="AT12" s="27" t="s">
        <v>631</v>
      </c>
      <c r="AU12" s="9">
        <v>67</v>
      </c>
      <c r="AV12">
        <f t="shared" si="11"/>
        <v>2.456912357902457</v>
      </c>
      <c r="AY12" s="36" t="s">
        <v>713</v>
      </c>
      <c r="AZ12" t="s">
        <v>168</v>
      </c>
      <c r="BA12">
        <v>1</v>
      </c>
      <c r="BB12">
        <f t="shared" si="12"/>
        <v>3.5174111853675694E-2</v>
      </c>
      <c r="BD12">
        <v>1</v>
      </c>
      <c r="BE12">
        <f t="shared" si="13"/>
        <v>6.5146579804560262E-2</v>
      </c>
      <c r="BG12">
        <v>0</v>
      </c>
      <c r="BH12">
        <f t="shared" si="14"/>
        <v>0</v>
      </c>
      <c r="BJ12">
        <v>1</v>
      </c>
      <c r="BK12">
        <f t="shared" si="15"/>
        <v>0.3401360544217687</v>
      </c>
      <c r="BO12" s="36" t="s">
        <v>713</v>
      </c>
      <c r="BP12" t="s">
        <v>107</v>
      </c>
      <c r="BQ12">
        <v>0</v>
      </c>
      <c r="BR12">
        <f t="shared" si="1"/>
        <v>0</v>
      </c>
      <c r="BT12">
        <v>2</v>
      </c>
      <c r="BU12">
        <f t="shared" si="16"/>
        <v>0.64724919093851141</v>
      </c>
      <c r="BW12">
        <v>3</v>
      </c>
      <c r="BX12">
        <f t="shared" si="17"/>
        <v>0.18621973929236499</v>
      </c>
      <c r="BZ12">
        <v>0</v>
      </c>
      <c r="CA12">
        <f t="shared" si="18"/>
        <v>0</v>
      </c>
      <c r="CE12" s="36" t="s">
        <v>713</v>
      </c>
      <c r="CF12" t="s">
        <v>247</v>
      </c>
      <c r="CG12">
        <v>0</v>
      </c>
      <c r="CH12">
        <f t="shared" si="19"/>
        <v>0</v>
      </c>
      <c r="CJ12">
        <v>0</v>
      </c>
      <c r="CK12">
        <f t="shared" si="20"/>
        <v>0</v>
      </c>
      <c r="CM12">
        <v>0</v>
      </c>
      <c r="CN12">
        <f t="shared" si="21"/>
        <v>0</v>
      </c>
      <c r="CP12">
        <v>4</v>
      </c>
      <c r="CQ12">
        <f t="shared" si="22"/>
        <v>0.15273004963726614</v>
      </c>
      <c r="CU12" s="36" t="s">
        <v>713</v>
      </c>
      <c r="CV12" t="s">
        <v>255</v>
      </c>
      <c r="CW12">
        <v>5</v>
      </c>
      <c r="CX12">
        <f t="shared" si="23"/>
        <v>0.64102564102564097</v>
      </c>
      <c r="DB12" s="36" t="s">
        <v>713</v>
      </c>
      <c r="DC12" t="s">
        <v>196</v>
      </c>
      <c r="DD12">
        <v>1</v>
      </c>
      <c r="DE12">
        <f t="shared" si="24"/>
        <v>0.84033613445378152</v>
      </c>
      <c r="DG12">
        <v>3</v>
      </c>
      <c r="DH12">
        <f t="shared" si="25"/>
        <v>2.1582733812949639</v>
      </c>
      <c r="DJ12">
        <v>6</v>
      </c>
      <c r="DK12">
        <f t="shared" si="26"/>
        <v>1.5228426395939088</v>
      </c>
      <c r="DM12">
        <v>2</v>
      </c>
      <c r="DN12">
        <f t="shared" si="27"/>
        <v>1.0050251256281406</v>
      </c>
      <c r="DR12" s="36" t="s">
        <v>713</v>
      </c>
      <c r="DS12" t="s">
        <v>360</v>
      </c>
      <c r="DT12">
        <v>4</v>
      </c>
      <c r="DU12">
        <f t="shared" si="28"/>
        <v>2.3952095808383236</v>
      </c>
      <c r="DW12">
        <v>1</v>
      </c>
      <c r="DX12">
        <f t="shared" si="29"/>
        <v>0.37878787878787878</v>
      </c>
      <c r="DZ12">
        <v>12</v>
      </c>
      <c r="EA12">
        <f t="shared" si="30"/>
        <v>3.8961038961038961</v>
      </c>
      <c r="EF12" s="28" t="s">
        <v>713</v>
      </c>
      <c r="EG12" s="28" t="s">
        <v>359</v>
      </c>
      <c r="EH12" s="28">
        <v>8</v>
      </c>
      <c r="EI12" s="28">
        <f>EH12/197*100</f>
        <v>4.0609137055837561</v>
      </c>
      <c r="EJ12" s="28"/>
      <c r="EK12" s="28">
        <v>12</v>
      </c>
      <c r="EL12" s="28">
        <f>EK12/145*100</f>
        <v>8.2758620689655178</v>
      </c>
      <c r="EM12" s="28"/>
      <c r="EN12" s="28">
        <v>0</v>
      </c>
      <c r="EO12" s="28">
        <f t="shared" si="31"/>
        <v>0</v>
      </c>
      <c r="EP12" s="28"/>
      <c r="EQ12" s="28">
        <v>5</v>
      </c>
      <c r="ER12">
        <f t="shared" si="32"/>
        <v>5</v>
      </c>
    </row>
    <row r="13" spans="1:148" x14ac:dyDescent="0.25">
      <c r="A13" s="36" t="s">
        <v>713</v>
      </c>
      <c r="B13" t="s">
        <v>118</v>
      </c>
      <c r="C13">
        <v>53</v>
      </c>
      <c r="D13">
        <f t="shared" si="2"/>
        <v>7.2902338376891338</v>
      </c>
      <c r="G13" s="36" t="s">
        <v>713</v>
      </c>
      <c r="H13" t="s">
        <v>75</v>
      </c>
      <c r="I13">
        <v>133</v>
      </c>
      <c r="J13">
        <f t="shared" si="3"/>
        <v>14.074074074074074</v>
      </c>
      <c r="M13" s="9" t="s">
        <v>713</v>
      </c>
      <c r="N13" s="30" t="s">
        <v>189</v>
      </c>
      <c r="O13" s="9">
        <v>3</v>
      </c>
      <c r="P13" s="9">
        <f t="shared" si="4"/>
        <v>0.64794816414686829</v>
      </c>
      <c r="Q13" s="9"/>
      <c r="R13" s="9">
        <v>2</v>
      </c>
      <c r="S13" s="9">
        <f t="shared" si="5"/>
        <v>0.80971659919028338</v>
      </c>
      <c r="T13" s="9"/>
      <c r="U13" s="9">
        <v>0</v>
      </c>
      <c r="V13" s="9">
        <f t="shared" si="6"/>
        <v>0</v>
      </c>
      <c r="W13" s="9"/>
      <c r="X13" s="9">
        <v>0</v>
      </c>
      <c r="Y13">
        <f t="shared" si="7"/>
        <v>0</v>
      </c>
      <c r="AC13" s="36" t="s">
        <v>713</v>
      </c>
      <c r="AD13" s="26" t="s">
        <v>39</v>
      </c>
      <c r="AE13">
        <v>21</v>
      </c>
      <c r="AF13">
        <f t="shared" si="0"/>
        <v>7.5812274368231041</v>
      </c>
      <c r="AH13">
        <v>11</v>
      </c>
      <c r="AI13">
        <f t="shared" si="8"/>
        <v>5.7591623036649215</v>
      </c>
      <c r="AK13">
        <v>29</v>
      </c>
      <c r="AL13">
        <f t="shared" si="9"/>
        <v>14.009661835748794</v>
      </c>
      <c r="AN13">
        <v>65</v>
      </c>
      <c r="AO13">
        <f t="shared" si="10"/>
        <v>36.111111111111107</v>
      </c>
      <c r="AS13" s="36" t="s">
        <v>713</v>
      </c>
      <c r="AT13" s="27" t="s">
        <v>632</v>
      </c>
      <c r="AU13" s="9">
        <v>66</v>
      </c>
      <c r="AV13">
        <f t="shared" si="11"/>
        <v>2.4202420242024201</v>
      </c>
      <c r="AY13" s="36" t="s">
        <v>713</v>
      </c>
      <c r="AZ13" s="1" t="s">
        <v>173</v>
      </c>
      <c r="BA13">
        <v>3</v>
      </c>
      <c r="BB13">
        <f t="shared" si="12"/>
        <v>0.10552233556102709</v>
      </c>
      <c r="BD13">
        <v>1</v>
      </c>
      <c r="BE13">
        <f t="shared" si="13"/>
        <v>6.5146579804560262E-2</v>
      </c>
      <c r="BG13">
        <v>1</v>
      </c>
      <c r="BH13">
        <f t="shared" si="14"/>
        <v>0.22727272727272727</v>
      </c>
      <c r="BJ13">
        <v>7</v>
      </c>
      <c r="BK13">
        <f t="shared" si="15"/>
        <v>2.3809523809523809</v>
      </c>
      <c r="BO13" s="36" t="s">
        <v>713</v>
      </c>
      <c r="BP13" t="s">
        <v>115</v>
      </c>
      <c r="BQ13">
        <v>13</v>
      </c>
      <c r="BR13">
        <f t="shared" si="1"/>
        <v>0.37845705967976706</v>
      </c>
      <c r="BT13">
        <v>27</v>
      </c>
      <c r="BU13">
        <f t="shared" si="16"/>
        <v>8.7378640776699026</v>
      </c>
      <c r="BW13">
        <v>7</v>
      </c>
      <c r="BX13">
        <f t="shared" si="17"/>
        <v>0.4345127250155183</v>
      </c>
      <c r="BZ13">
        <v>10</v>
      </c>
      <c r="CA13">
        <f t="shared" si="18"/>
        <v>4.5045045045045047</v>
      </c>
      <c r="CE13" s="36" t="s">
        <v>713</v>
      </c>
      <c r="CF13" t="s">
        <v>72</v>
      </c>
      <c r="CG13">
        <v>6</v>
      </c>
      <c r="CH13">
        <f t="shared" si="19"/>
        <v>2.6200873362445414</v>
      </c>
      <c r="CJ13">
        <v>1</v>
      </c>
      <c r="CK13">
        <f t="shared" si="20"/>
        <v>0.22371364653243847</v>
      </c>
      <c r="CM13">
        <v>8</v>
      </c>
      <c r="CN13">
        <f t="shared" si="21"/>
        <v>0.29928918817807704</v>
      </c>
      <c r="CP13">
        <v>12</v>
      </c>
      <c r="CQ13">
        <f t="shared" si="22"/>
        <v>0.45819014891179843</v>
      </c>
      <c r="CU13" s="36" t="s">
        <v>713</v>
      </c>
      <c r="CV13" t="s">
        <v>14</v>
      </c>
      <c r="CW13">
        <v>1</v>
      </c>
      <c r="CX13">
        <f t="shared" si="23"/>
        <v>0.12820512820512819</v>
      </c>
      <c r="DB13" s="36" t="s">
        <v>713</v>
      </c>
      <c r="DC13" t="s">
        <v>358</v>
      </c>
      <c r="DD13">
        <v>0</v>
      </c>
      <c r="DE13">
        <f t="shared" si="24"/>
        <v>0</v>
      </c>
      <c r="DG13">
        <v>1</v>
      </c>
      <c r="DH13">
        <f t="shared" si="25"/>
        <v>0.71942446043165476</v>
      </c>
      <c r="DJ13">
        <v>1</v>
      </c>
      <c r="DK13">
        <f t="shared" si="26"/>
        <v>0.25380710659898476</v>
      </c>
      <c r="DM13">
        <v>0</v>
      </c>
      <c r="DN13">
        <f t="shared" si="27"/>
        <v>0</v>
      </c>
      <c r="DR13" s="36" t="s">
        <v>713</v>
      </c>
      <c r="DS13" t="s">
        <v>14</v>
      </c>
      <c r="DT13">
        <v>4</v>
      </c>
      <c r="DU13">
        <f t="shared" si="28"/>
        <v>2.3952095808383236</v>
      </c>
      <c r="DW13">
        <v>0</v>
      </c>
      <c r="DX13">
        <f t="shared" si="29"/>
        <v>0</v>
      </c>
      <c r="DZ13">
        <v>0</v>
      </c>
      <c r="EA13">
        <f t="shared" si="30"/>
        <v>0</v>
      </c>
      <c r="EF13" s="28" t="s">
        <v>713</v>
      </c>
      <c r="EG13" s="28" t="s">
        <v>360</v>
      </c>
      <c r="EH13" s="28">
        <v>4</v>
      </c>
      <c r="EI13" s="28">
        <f>EH13/197*100</f>
        <v>2.030456852791878</v>
      </c>
      <c r="EJ13" s="28"/>
      <c r="EK13" s="28">
        <v>1</v>
      </c>
      <c r="EL13" s="28">
        <f>EK13/145*100</f>
        <v>0.68965517241379315</v>
      </c>
      <c r="EM13" s="28"/>
      <c r="EN13" s="28">
        <v>1</v>
      </c>
      <c r="EO13" s="28">
        <f t="shared" si="31"/>
        <v>0.60240963855421692</v>
      </c>
      <c r="EP13" s="28"/>
      <c r="EQ13" s="28">
        <v>3</v>
      </c>
      <c r="ER13">
        <f t="shared" si="32"/>
        <v>3</v>
      </c>
    </row>
    <row r="14" spans="1:148" x14ac:dyDescent="0.25">
      <c r="A14" s="36" t="s">
        <v>713</v>
      </c>
      <c r="B14" t="s">
        <v>119</v>
      </c>
      <c r="C14">
        <v>25</v>
      </c>
      <c r="D14">
        <f t="shared" si="2"/>
        <v>3.4387895460797799</v>
      </c>
      <c r="G14" s="36" t="s">
        <v>713</v>
      </c>
      <c r="H14" t="s">
        <v>4</v>
      </c>
      <c r="I14">
        <v>133</v>
      </c>
      <c r="J14">
        <f t="shared" si="3"/>
        <v>14.074074074074074</v>
      </c>
      <c r="M14" s="9" t="s">
        <v>713</v>
      </c>
      <c r="N14" s="30" t="s">
        <v>192</v>
      </c>
      <c r="O14" s="9">
        <v>6</v>
      </c>
      <c r="P14" s="9">
        <f t="shared" si="4"/>
        <v>1.2958963282937366</v>
      </c>
      <c r="Q14" s="9"/>
      <c r="R14" s="9">
        <v>4</v>
      </c>
      <c r="S14" s="9">
        <f t="shared" si="5"/>
        <v>1.6194331983805668</v>
      </c>
      <c r="T14" s="9"/>
      <c r="U14" s="9">
        <v>30</v>
      </c>
      <c r="V14" s="9">
        <f t="shared" si="6"/>
        <v>10.791366906474821</v>
      </c>
      <c r="W14" s="9"/>
      <c r="X14" s="9">
        <v>8</v>
      </c>
      <c r="Y14">
        <f t="shared" si="7"/>
        <v>7.8431372549019605</v>
      </c>
      <c r="AC14" s="36" t="s">
        <v>713</v>
      </c>
      <c r="AD14" s="26" t="s">
        <v>94</v>
      </c>
      <c r="AE14">
        <v>1</v>
      </c>
      <c r="AF14">
        <f t="shared" si="0"/>
        <v>0.36101083032490977</v>
      </c>
      <c r="AH14">
        <v>0</v>
      </c>
      <c r="AI14">
        <f t="shared" si="8"/>
        <v>0</v>
      </c>
      <c r="AK14">
        <v>0</v>
      </c>
      <c r="AL14">
        <f t="shared" si="9"/>
        <v>0</v>
      </c>
      <c r="AN14">
        <v>0</v>
      </c>
      <c r="AO14">
        <f t="shared" si="10"/>
        <v>0</v>
      </c>
      <c r="AS14" s="36" t="s">
        <v>713</v>
      </c>
      <c r="AT14" s="27" t="s">
        <v>633</v>
      </c>
      <c r="AU14" s="9">
        <v>45</v>
      </c>
      <c r="AV14">
        <f t="shared" si="11"/>
        <v>1.6501650165016499</v>
      </c>
      <c r="AY14" s="36" t="s">
        <v>713</v>
      </c>
      <c r="AZ14" t="s">
        <v>107</v>
      </c>
      <c r="BA14">
        <v>3</v>
      </c>
      <c r="BB14">
        <f t="shared" si="12"/>
        <v>0.10552233556102709</v>
      </c>
      <c r="BD14">
        <v>2</v>
      </c>
      <c r="BE14">
        <f t="shared" si="13"/>
        <v>0.13029315960912052</v>
      </c>
      <c r="BG14">
        <v>0</v>
      </c>
      <c r="BH14">
        <f t="shared" si="14"/>
        <v>0</v>
      </c>
      <c r="BJ14">
        <v>0</v>
      </c>
      <c r="BK14">
        <f t="shared" si="15"/>
        <v>0</v>
      </c>
      <c r="BO14" s="36" t="s">
        <v>713</v>
      </c>
      <c r="BP14" s="1" t="s">
        <v>171</v>
      </c>
      <c r="BQ14">
        <v>5</v>
      </c>
      <c r="BR14">
        <f t="shared" si="1"/>
        <v>0.14556040756914121</v>
      </c>
      <c r="BT14">
        <v>2</v>
      </c>
      <c r="BU14">
        <f t="shared" si="16"/>
        <v>0.64724919093851141</v>
      </c>
      <c r="BW14">
        <v>4</v>
      </c>
      <c r="BX14">
        <f t="shared" si="17"/>
        <v>0.24829298572315331</v>
      </c>
      <c r="BZ14">
        <v>12</v>
      </c>
      <c r="CA14">
        <f t="shared" si="18"/>
        <v>5.4054054054054053</v>
      </c>
      <c r="CE14" s="36" t="s">
        <v>713</v>
      </c>
      <c r="CF14" s="1" t="s">
        <v>196</v>
      </c>
      <c r="CG14">
        <v>2</v>
      </c>
      <c r="CH14">
        <f t="shared" si="19"/>
        <v>0.87336244541484709</v>
      </c>
      <c r="CJ14">
        <v>12</v>
      </c>
      <c r="CK14">
        <f t="shared" si="20"/>
        <v>2.6845637583892619</v>
      </c>
      <c r="CM14">
        <v>0</v>
      </c>
      <c r="CN14">
        <f t="shared" si="21"/>
        <v>0</v>
      </c>
      <c r="CP14">
        <v>12</v>
      </c>
      <c r="CQ14">
        <f t="shared" si="22"/>
        <v>0.45819014891179843</v>
      </c>
      <c r="CU14" s="36" t="s">
        <v>713</v>
      </c>
      <c r="CV14" t="s">
        <v>6</v>
      </c>
      <c r="CW14">
        <v>3</v>
      </c>
      <c r="CX14">
        <f t="shared" si="23"/>
        <v>0.38461538461538464</v>
      </c>
      <c r="DB14" s="36" t="s">
        <v>713</v>
      </c>
      <c r="DC14" t="s">
        <v>359</v>
      </c>
      <c r="DD14">
        <v>12</v>
      </c>
      <c r="DE14">
        <f t="shared" si="24"/>
        <v>10.084033613445378</v>
      </c>
      <c r="DG14">
        <v>12</v>
      </c>
      <c r="DH14">
        <f t="shared" si="25"/>
        <v>8.6330935251798557</v>
      </c>
      <c r="DJ14">
        <v>42</v>
      </c>
      <c r="DK14">
        <f t="shared" si="26"/>
        <v>10.659898477157361</v>
      </c>
      <c r="DM14">
        <v>20</v>
      </c>
      <c r="DN14">
        <f t="shared" si="27"/>
        <v>10.050251256281408</v>
      </c>
      <c r="DR14" s="36" t="s">
        <v>713</v>
      </c>
      <c r="DS14" t="s">
        <v>6</v>
      </c>
      <c r="DT14">
        <v>3</v>
      </c>
      <c r="DU14">
        <f t="shared" si="28"/>
        <v>1.7964071856287425</v>
      </c>
      <c r="DW14">
        <v>4</v>
      </c>
      <c r="DX14">
        <f t="shared" si="29"/>
        <v>1.5151515151515151</v>
      </c>
      <c r="DZ14">
        <v>0</v>
      </c>
      <c r="EA14">
        <f t="shared" si="30"/>
        <v>0</v>
      </c>
      <c r="EF14" s="28" t="s">
        <v>713</v>
      </c>
      <c r="EG14" s="28" t="s">
        <v>6</v>
      </c>
      <c r="EH14" s="28">
        <v>2</v>
      </c>
      <c r="EI14" s="28">
        <f>EH14/197*100</f>
        <v>1.015228426395939</v>
      </c>
      <c r="EJ14" s="28"/>
      <c r="EK14" s="28">
        <v>4</v>
      </c>
      <c r="EL14" s="28">
        <f>EK14/145*100</f>
        <v>2.7586206896551726</v>
      </c>
      <c r="EM14" s="28"/>
      <c r="EN14" s="28">
        <v>3</v>
      </c>
      <c r="EO14" s="28">
        <f t="shared" si="31"/>
        <v>1.8072289156626504</v>
      </c>
      <c r="EP14" s="28"/>
      <c r="EQ14" s="28">
        <v>0</v>
      </c>
      <c r="ER14">
        <f t="shared" si="32"/>
        <v>0</v>
      </c>
    </row>
    <row r="15" spans="1:148" x14ac:dyDescent="0.25">
      <c r="A15" s="36" t="s">
        <v>713</v>
      </c>
      <c r="B15" s="1" t="s">
        <v>120</v>
      </c>
      <c r="C15">
        <v>42</v>
      </c>
      <c r="D15">
        <f t="shared" si="2"/>
        <v>5.7771664374140306</v>
      </c>
      <c r="G15" s="36" t="s">
        <v>713</v>
      </c>
      <c r="H15" t="s">
        <v>77</v>
      </c>
      <c r="I15">
        <v>2</v>
      </c>
      <c r="J15">
        <f t="shared" si="3"/>
        <v>0.21164021164021166</v>
      </c>
      <c r="M15" s="9" t="s">
        <v>713</v>
      </c>
      <c r="N15" s="31" t="s">
        <v>52</v>
      </c>
      <c r="O15" s="9">
        <v>1</v>
      </c>
      <c r="P15" s="9">
        <f t="shared" si="4"/>
        <v>0.21598272138228944</v>
      </c>
      <c r="Q15" s="9"/>
      <c r="R15" s="9">
        <v>1</v>
      </c>
      <c r="S15" s="9">
        <f t="shared" si="5"/>
        <v>0.40485829959514169</v>
      </c>
      <c r="T15" s="9"/>
      <c r="U15" s="9">
        <v>5</v>
      </c>
      <c r="V15" s="9">
        <f t="shared" si="6"/>
        <v>1.7985611510791366</v>
      </c>
      <c r="W15" s="9"/>
      <c r="X15" s="9">
        <v>0</v>
      </c>
      <c r="Y15">
        <f t="shared" si="7"/>
        <v>0</v>
      </c>
      <c r="AC15" s="36" t="s">
        <v>713</v>
      </c>
      <c r="AD15" s="26" t="s">
        <v>40</v>
      </c>
      <c r="AE15">
        <v>6</v>
      </c>
      <c r="AF15">
        <f t="shared" si="0"/>
        <v>2.1660649819494582</v>
      </c>
      <c r="AH15">
        <v>5</v>
      </c>
      <c r="AI15">
        <f t="shared" si="8"/>
        <v>2.6178010471204187</v>
      </c>
      <c r="AK15">
        <v>5</v>
      </c>
      <c r="AL15">
        <f t="shared" si="9"/>
        <v>2.4154589371980677</v>
      </c>
      <c r="AN15">
        <v>15</v>
      </c>
      <c r="AO15">
        <f t="shared" si="10"/>
        <v>8.3333333333333321</v>
      </c>
      <c r="AS15" s="36" t="s">
        <v>713</v>
      </c>
      <c r="AT15" s="27" t="s">
        <v>634</v>
      </c>
      <c r="AU15" s="9">
        <v>107</v>
      </c>
      <c r="AV15">
        <f t="shared" si="11"/>
        <v>3.9237257059039234</v>
      </c>
      <c r="AY15" s="36" t="s">
        <v>713</v>
      </c>
      <c r="AZ15" s="1" t="s">
        <v>126</v>
      </c>
      <c r="BA15">
        <v>1</v>
      </c>
      <c r="BB15">
        <f t="shared" si="12"/>
        <v>3.5174111853675694E-2</v>
      </c>
      <c r="BD15">
        <v>1</v>
      </c>
      <c r="BE15">
        <f t="shared" si="13"/>
        <v>6.5146579804560262E-2</v>
      </c>
      <c r="BG15">
        <v>3</v>
      </c>
      <c r="BH15">
        <f t="shared" si="14"/>
        <v>0.68181818181818177</v>
      </c>
      <c r="BJ15">
        <v>0</v>
      </c>
      <c r="BK15">
        <f t="shared" si="15"/>
        <v>0</v>
      </c>
      <c r="BO15" s="36" t="s">
        <v>713</v>
      </c>
      <c r="BP15" t="s">
        <v>15</v>
      </c>
      <c r="BQ15">
        <v>3</v>
      </c>
      <c r="BR15">
        <f t="shared" si="1"/>
        <v>8.7336244541484712E-2</v>
      </c>
      <c r="BT15">
        <v>0</v>
      </c>
      <c r="BU15">
        <f t="shared" si="16"/>
        <v>0</v>
      </c>
      <c r="BW15">
        <v>5</v>
      </c>
      <c r="BX15">
        <f t="shared" si="17"/>
        <v>0.31036623215394166</v>
      </c>
      <c r="BZ15">
        <v>1</v>
      </c>
      <c r="CA15">
        <f t="shared" si="18"/>
        <v>0.45045045045045046</v>
      </c>
      <c r="CE15" s="36" t="s">
        <v>713</v>
      </c>
      <c r="CF15" t="s">
        <v>107</v>
      </c>
      <c r="CG15">
        <v>2</v>
      </c>
      <c r="CH15">
        <f t="shared" si="19"/>
        <v>0.87336244541484709</v>
      </c>
      <c r="CJ15">
        <v>0</v>
      </c>
      <c r="CK15">
        <f t="shared" si="20"/>
        <v>0</v>
      </c>
      <c r="CM15">
        <v>3</v>
      </c>
      <c r="CN15">
        <f t="shared" si="21"/>
        <v>0.11223344556677892</v>
      </c>
      <c r="CP15">
        <v>6</v>
      </c>
      <c r="CQ15">
        <f t="shared" si="22"/>
        <v>0.22909507445589922</v>
      </c>
      <c r="CU15" s="36" t="s">
        <v>713</v>
      </c>
      <c r="CV15" t="s">
        <v>365</v>
      </c>
      <c r="CW15">
        <v>1</v>
      </c>
      <c r="CX15">
        <f t="shared" si="23"/>
        <v>0.12820512820512819</v>
      </c>
      <c r="DB15" s="36" t="s">
        <v>713</v>
      </c>
      <c r="DC15" t="s">
        <v>360</v>
      </c>
      <c r="DD15">
        <v>1</v>
      </c>
      <c r="DE15">
        <f t="shared" si="24"/>
        <v>0.84033613445378152</v>
      </c>
      <c r="DG15">
        <v>2</v>
      </c>
      <c r="DH15">
        <f t="shared" si="25"/>
        <v>1.4388489208633095</v>
      </c>
      <c r="DJ15">
        <v>1</v>
      </c>
      <c r="DK15">
        <f t="shared" si="26"/>
        <v>0.25380710659898476</v>
      </c>
      <c r="DM15">
        <v>0</v>
      </c>
      <c r="DN15">
        <f t="shared" si="27"/>
        <v>0</v>
      </c>
      <c r="DR15" s="36" t="s">
        <v>713</v>
      </c>
      <c r="DS15" t="s">
        <v>365</v>
      </c>
      <c r="DT15">
        <v>0</v>
      </c>
      <c r="DU15">
        <f t="shared" si="28"/>
        <v>0</v>
      </c>
      <c r="DW15">
        <v>1</v>
      </c>
      <c r="DX15">
        <f t="shared" si="29"/>
        <v>0.37878787878787878</v>
      </c>
      <c r="DZ15">
        <v>1</v>
      </c>
      <c r="EA15">
        <f t="shared" si="30"/>
        <v>0.32467532467532467</v>
      </c>
      <c r="EF15" s="28" t="s">
        <v>713</v>
      </c>
      <c r="EG15" s="28" t="s">
        <v>365</v>
      </c>
      <c r="EH15" s="28">
        <v>0</v>
      </c>
      <c r="EI15" s="28">
        <f>EH15/197*100</f>
        <v>0</v>
      </c>
      <c r="EJ15" s="28"/>
      <c r="EK15" s="28">
        <v>0</v>
      </c>
      <c r="EL15" s="28">
        <f>EK15/145*100</f>
        <v>0</v>
      </c>
      <c r="EM15" s="28"/>
      <c r="EN15" s="28">
        <v>1</v>
      </c>
      <c r="EO15" s="28">
        <f t="shared" si="31"/>
        <v>0.60240963855421692</v>
      </c>
      <c r="EP15" s="28"/>
      <c r="EQ15" s="28">
        <v>3</v>
      </c>
      <c r="ER15">
        <f t="shared" si="32"/>
        <v>3</v>
      </c>
    </row>
    <row r="16" spans="1:148" x14ac:dyDescent="0.25">
      <c r="A16" s="36" t="s">
        <v>713</v>
      </c>
      <c r="B16" t="s">
        <v>122</v>
      </c>
      <c r="C16">
        <v>6</v>
      </c>
      <c r="D16">
        <f t="shared" si="2"/>
        <v>0.82530949105914708</v>
      </c>
      <c r="G16" s="36" t="s">
        <v>713</v>
      </c>
      <c r="H16" s="1" t="s">
        <v>52</v>
      </c>
      <c r="I16">
        <v>15</v>
      </c>
      <c r="J16">
        <f t="shared" si="3"/>
        <v>1.5873015873015872</v>
      </c>
      <c r="M16" s="9" t="s">
        <v>713</v>
      </c>
      <c r="N16" s="30" t="s">
        <v>57</v>
      </c>
      <c r="O16" s="9">
        <v>4</v>
      </c>
      <c r="P16" s="9">
        <f t="shared" si="4"/>
        <v>0.86393088552915775</v>
      </c>
      <c r="Q16" s="9"/>
      <c r="R16" s="9">
        <v>1</v>
      </c>
      <c r="S16" s="9">
        <f t="shared" si="5"/>
        <v>0.40485829959514169</v>
      </c>
      <c r="T16" s="9"/>
      <c r="U16" s="9">
        <v>24</v>
      </c>
      <c r="V16" s="9">
        <f t="shared" si="6"/>
        <v>8.6330935251798557</v>
      </c>
      <c r="W16" s="9"/>
      <c r="X16" s="9">
        <v>0</v>
      </c>
      <c r="Y16">
        <f t="shared" si="7"/>
        <v>0</v>
      </c>
      <c r="AC16" s="36" t="s">
        <v>713</v>
      </c>
      <c r="AD16" s="26" t="s">
        <v>139</v>
      </c>
      <c r="AE16">
        <v>10</v>
      </c>
      <c r="AF16">
        <f t="shared" si="0"/>
        <v>3.6101083032490973</v>
      </c>
      <c r="AH16">
        <v>3</v>
      </c>
      <c r="AI16">
        <f t="shared" si="8"/>
        <v>1.5706806282722512</v>
      </c>
      <c r="AK16">
        <v>4</v>
      </c>
      <c r="AL16">
        <f t="shared" si="9"/>
        <v>1.932367149758454</v>
      </c>
      <c r="AN16">
        <v>0</v>
      </c>
      <c r="AO16">
        <f t="shared" si="10"/>
        <v>0</v>
      </c>
      <c r="AS16" s="36" t="s">
        <v>713</v>
      </c>
      <c r="AT16" s="27" t="s">
        <v>635</v>
      </c>
      <c r="AU16" s="9">
        <v>33</v>
      </c>
      <c r="AV16">
        <f t="shared" si="11"/>
        <v>1.21012101210121</v>
      </c>
      <c r="AY16" s="36" t="s">
        <v>713</v>
      </c>
      <c r="AZ16" t="s">
        <v>115</v>
      </c>
      <c r="BA16">
        <v>17</v>
      </c>
      <c r="BB16">
        <f t="shared" si="12"/>
        <v>0.59795990151248679</v>
      </c>
      <c r="BD16">
        <v>5</v>
      </c>
      <c r="BE16">
        <f t="shared" si="13"/>
        <v>0.32573289902280134</v>
      </c>
      <c r="BG16">
        <v>3</v>
      </c>
      <c r="BH16">
        <f t="shared" si="14"/>
        <v>0.68181818181818177</v>
      </c>
      <c r="BJ16">
        <v>6</v>
      </c>
      <c r="BK16">
        <f t="shared" si="15"/>
        <v>2.0408163265306123</v>
      </c>
      <c r="BO16" s="36" t="s">
        <v>713</v>
      </c>
      <c r="BP16" t="s">
        <v>227</v>
      </c>
      <c r="BQ16">
        <v>1</v>
      </c>
      <c r="BR16">
        <f t="shared" si="1"/>
        <v>2.9112081513828242E-2</v>
      </c>
      <c r="BT16">
        <v>8</v>
      </c>
      <c r="BU16">
        <f t="shared" si="16"/>
        <v>2.5889967637540456</v>
      </c>
      <c r="BW16">
        <v>0</v>
      </c>
      <c r="BX16">
        <f t="shared" si="17"/>
        <v>0</v>
      </c>
      <c r="BZ16">
        <v>0</v>
      </c>
      <c r="CA16">
        <f t="shared" si="18"/>
        <v>0</v>
      </c>
      <c r="CE16" s="36" t="s">
        <v>713</v>
      </c>
      <c r="CF16" t="s">
        <v>115</v>
      </c>
      <c r="CG16">
        <v>7</v>
      </c>
      <c r="CH16">
        <f t="shared" si="19"/>
        <v>3.0567685589519651</v>
      </c>
      <c r="CJ16">
        <v>19</v>
      </c>
      <c r="CK16">
        <f t="shared" si="20"/>
        <v>4.2505592841163313</v>
      </c>
      <c r="CM16">
        <v>6</v>
      </c>
      <c r="CN16">
        <f t="shared" si="21"/>
        <v>0.22446689113355783</v>
      </c>
      <c r="CP16">
        <v>23</v>
      </c>
      <c r="CQ16">
        <f t="shared" si="22"/>
        <v>0.87819778541428029</v>
      </c>
      <c r="CU16" s="36" t="s">
        <v>713</v>
      </c>
      <c r="CV16" t="s">
        <v>59</v>
      </c>
      <c r="CW16">
        <v>1</v>
      </c>
      <c r="CX16">
        <f t="shared" si="23"/>
        <v>0.12820512820512819</v>
      </c>
      <c r="DB16" s="36" t="s">
        <v>713</v>
      </c>
      <c r="DC16" t="s">
        <v>255</v>
      </c>
      <c r="DD16">
        <v>0</v>
      </c>
      <c r="DE16">
        <f t="shared" si="24"/>
        <v>0</v>
      </c>
      <c r="DG16">
        <v>1</v>
      </c>
      <c r="DH16">
        <f t="shared" si="25"/>
        <v>0.71942446043165476</v>
      </c>
      <c r="DJ16">
        <v>4</v>
      </c>
      <c r="DK16">
        <f t="shared" si="26"/>
        <v>1.015228426395939</v>
      </c>
      <c r="DM16">
        <v>0</v>
      </c>
      <c r="DN16">
        <f t="shared" si="27"/>
        <v>0</v>
      </c>
      <c r="DR16" s="36" t="s">
        <v>713</v>
      </c>
      <c r="DS16" t="s">
        <v>55</v>
      </c>
      <c r="DT16">
        <v>1</v>
      </c>
      <c r="DU16">
        <f t="shared" si="28"/>
        <v>0.5988023952095809</v>
      </c>
      <c r="DW16">
        <v>6</v>
      </c>
      <c r="DX16">
        <f t="shared" si="29"/>
        <v>2.2727272727272729</v>
      </c>
      <c r="DZ16">
        <v>3</v>
      </c>
      <c r="EA16">
        <f t="shared" si="30"/>
        <v>0.97402597402597402</v>
      </c>
      <c r="EF16" s="28" t="s">
        <v>713</v>
      </c>
      <c r="EG16" s="28" t="s">
        <v>400</v>
      </c>
      <c r="EH16" s="28">
        <v>0</v>
      </c>
      <c r="EI16" s="28">
        <f>EH16/197*100</f>
        <v>0</v>
      </c>
      <c r="EJ16" s="28"/>
      <c r="EK16" s="28">
        <v>1</v>
      </c>
      <c r="EL16" s="28">
        <f>EK16/145*100</f>
        <v>0.68965517241379315</v>
      </c>
      <c r="EM16" s="28"/>
      <c r="EN16" s="28">
        <v>4</v>
      </c>
      <c r="EO16" s="28">
        <f t="shared" si="31"/>
        <v>2.4096385542168677</v>
      </c>
      <c r="EP16" s="28"/>
      <c r="EQ16" s="28">
        <v>2</v>
      </c>
      <c r="ER16">
        <f t="shared" si="32"/>
        <v>2</v>
      </c>
    </row>
    <row r="17" spans="1:148" x14ac:dyDescent="0.25">
      <c r="A17" s="36" t="s">
        <v>713</v>
      </c>
      <c r="B17" t="s">
        <v>125</v>
      </c>
      <c r="C17">
        <v>29</v>
      </c>
      <c r="D17">
        <f t="shared" si="2"/>
        <v>3.9889958734525441</v>
      </c>
      <c r="G17" s="36" t="s">
        <v>713</v>
      </c>
      <c r="H17" t="s">
        <v>78</v>
      </c>
      <c r="I17">
        <v>9</v>
      </c>
      <c r="J17">
        <f t="shared" si="3"/>
        <v>0.95238095238095244</v>
      </c>
      <c r="M17" s="9" t="s">
        <v>713</v>
      </c>
      <c r="N17" s="31" t="s">
        <v>193</v>
      </c>
      <c r="O17" s="9">
        <v>5</v>
      </c>
      <c r="P17" s="9">
        <f t="shared" si="4"/>
        <v>1.079913606911447</v>
      </c>
      <c r="Q17" s="9"/>
      <c r="R17" s="9">
        <v>3</v>
      </c>
      <c r="S17" s="9">
        <f t="shared" si="5"/>
        <v>1.214574898785425</v>
      </c>
      <c r="T17" s="9"/>
      <c r="U17" s="9">
        <v>3</v>
      </c>
      <c r="V17" s="9">
        <f t="shared" si="6"/>
        <v>1.079136690647482</v>
      </c>
      <c r="W17" s="9"/>
      <c r="X17" s="9">
        <v>0</v>
      </c>
      <c r="Y17">
        <f t="shared" si="7"/>
        <v>0</v>
      </c>
      <c r="AC17" s="36" t="s">
        <v>713</v>
      </c>
      <c r="AD17" s="26" t="s">
        <v>96</v>
      </c>
      <c r="AE17">
        <v>3</v>
      </c>
      <c r="AF17">
        <f t="shared" si="0"/>
        <v>1.0830324909747291</v>
      </c>
      <c r="AH17">
        <v>0</v>
      </c>
      <c r="AI17">
        <f t="shared" si="8"/>
        <v>0</v>
      </c>
      <c r="AK17">
        <v>0</v>
      </c>
      <c r="AL17">
        <f t="shared" si="9"/>
        <v>0</v>
      </c>
      <c r="AN17">
        <v>0</v>
      </c>
      <c r="AO17">
        <f t="shared" si="10"/>
        <v>0</v>
      </c>
      <c r="AS17" s="36" t="s">
        <v>713</v>
      </c>
      <c r="AT17" s="27" t="s">
        <v>637</v>
      </c>
      <c r="AU17" s="9">
        <v>5</v>
      </c>
      <c r="AV17">
        <f t="shared" si="11"/>
        <v>0.18335166850018336</v>
      </c>
      <c r="AY17" s="36" t="s">
        <v>713</v>
      </c>
      <c r="AZ17" s="1" t="s">
        <v>170</v>
      </c>
      <c r="BA17">
        <v>2</v>
      </c>
      <c r="BB17">
        <f t="shared" si="12"/>
        <v>7.0348223707351387E-2</v>
      </c>
      <c r="BD17">
        <v>0</v>
      </c>
      <c r="BE17">
        <f t="shared" si="13"/>
        <v>0</v>
      </c>
      <c r="BG17">
        <v>0</v>
      </c>
      <c r="BH17">
        <f t="shared" si="14"/>
        <v>0</v>
      </c>
      <c r="BJ17">
        <v>0</v>
      </c>
      <c r="BK17">
        <f t="shared" si="15"/>
        <v>0</v>
      </c>
      <c r="BO17" s="36" t="s">
        <v>713</v>
      </c>
      <c r="BP17" s="1" t="s">
        <v>200</v>
      </c>
      <c r="BQ17">
        <v>0</v>
      </c>
      <c r="BR17">
        <f t="shared" si="1"/>
        <v>0</v>
      </c>
      <c r="BT17">
        <v>0</v>
      </c>
      <c r="BU17">
        <f t="shared" si="16"/>
        <v>0</v>
      </c>
      <c r="BW17">
        <v>0</v>
      </c>
      <c r="BX17">
        <f t="shared" si="17"/>
        <v>0</v>
      </c>
      <c r="BZ17">
        <v>1</v>
      </c>
      <c r="CA17">
        <f t="shared" si="18"/>
        <v>0.45045045045045046</v>
      </c>
      <c r="CE17" s="36" t="s">
        <v>713</v>
      </c>
      <c r="CF17" s="1" t="s">
        <v>171</v>
      </c>
      <c r="CG17">
        <v>0</v>
      </c>
      <c r="CH17">
        <f t="shared" si="19"/>
        <v>0</v>
      </c>
      <c r="CJ17">
        <v>4</v>
      </c>
      <c r="CK17">
        <f t="shared" si="20"/>
        <v>0.89485458612975388</v>
      </c>
      <c r="CM17">
        <v>0</v>
      </c>
      <c r="CN17">
        <f t="shared" si="21"/>
        <v>0</v>
      </c>
      <c r="CP17">
        <v>1</v>
      </c>
      <c r="CQ17">
        <f t="shared" si="22"/>
        <v>3.8182512409316534E-2</v>
      </c>
      <c r="CU17" s="36" t="s">
        <v>713</v>
      </c>
      <c r="CV17" t="s">
        <v>49</v>
      </c>
      <c r="CW17">
        <v>2</v>
      </c>
      <c r="CX17">
        <f t="shared" si="23"/>
        <v>0.25641025641025639</v>
      </c>
      <c r="DB17" s="36" t="s">
        <v>713</v>
      </c>
      <c r="DC17" t="s">
        <v>14</v>
      </c>
      <c r="DD17">
        <v>5</v>
      </c>
      <c r="DE17">
        <f t="shared" si="24"/>
        <v>4.2016806722689077</v>
      </c>
      <c r="DG17">
        <v>0</v>
      </c>
      <c r="DH17">
        <f t="shared" si="25"/>
        <v>0</v>
      </c>
      <c r="DJ17">
        <v>1</v>
      </c>
      <c r="DK17">
        <f t="shared" si="26"/>
        <v>0.25380710659898476</v>
      </c>
      <c r="DM17">
        <v>2</v>
      </c>
      <c r="DN17">
        <f t="shared" si="27"/>
        <v>1.0050251256281406</v>
      </c>
      <c r="DR17" s="36" t="s">
        <v>713</v>
      </c>
      <c r="DS17" t="s">
        <v>366</v>
      </c>
      <c r="DT17">
        <v>1</v>
      </c>
      <c r="DU17">
        <f t="shared" si="28"/>
        <v>0.5988023952095809</v>
      </c>
      <c r="DW17">
        <v>1</v>
      </c>
      <c r="DX17">
        <f t="shared" si="29"/>
        <v>0.37878787878787878</v>
      </c>
      <c r="DZ17">
        <v>1</v>
      </c>
      <c r="EA17">
        <f t="shared" si="30"/>
        <v>0.32467532467532467</v>
      </c>
      <c r="EF17" s="28" t="s">
        <v>713</v>
      </c>
      <c r="EG17" s="28" t="s">
        <v>49</v>
      </c>
      <c r="EH17" s="28">
        <v>4</v>
      </c>
      <c r="EI17" s="28">
        <f>EH17/197*100</f>
        <v>2.030456852791878</v>
      </c>
      <c r="EJ17" s="28"/>
      <c r="EK17" s="28">
        <v>1</v>
      </c>
      <c r="EL17" s="28">
        <f>EK17/145*100</f>
        <v>0.68965517241379315</v>
      </c>
      <c r="EM17" s="28"/>
      <c r="EN17" s="28">
        <v>0</v>
      </c>
      <c r="EO17" s="28">
        <f t="shared" si="31"/>
        <v>0</v>
      </c>
      <c r="EP17" s="28"/>
      <c r="EQ17" s="28">
        <v>6</v>
      </c>
      <c r="ER17">
        <f t="shared" si="32"/>
        <v>6</v>
      </c>
    </row>
    <row r="18" spans="1:148" x14ac:dyDescent="0.25">
      <c r="A18" s="36" t="s">
        <v>713</v>
      </c>
      <c r="B18" s="1" t="s">
        <v>126</v>
      </c>
      <c r="C18">
        <v>1</v>
      </c>
      <c r="D18">
        <f t="shared" si="2"/>
        <v>0.13755158184319119</v>
      </c>
      <c r="G18" s="36" t="s">
        <v>713</v>
      </c>
      <c r="H18" t="s">
        <v>81</v>
      </c>
      <c r="I18">
        <v>14</v>
      </c>
      <c r="J18">
        <f t="shared" si="3"/>
        <v>1.4814814814814816</v>
      </c>
      <c r="M18" s="9" t="s">
        <v>713</v>
      </c>
      <c r="N18" s="31" t="s">
        <v>195</v>
      </c>
      <c r="O18" s="9">
        <v>2</v>
      </c>
      <c r="P18" s="9">
        <f t="shared" si="4"/>
        <v>0.43196544276457888</v>
      </c>
      <c r="Q18" s="9"/>
      <c r="R18" s="9">
        <v>0</v>
      </c>
      <c r="S18" s="9">
        <f t="shared" si="5"/>
        <v>0</v>
      </c>
      <c r="T18" s="9"/>
      <c r="U18" s="9">
        <v>0</v>
      </c>
      <c r="V18" s="9">
        <f t="shared" si="6"/>
        <v>0</v>
      </c>
      <c r="W18" s="9"/>
      <c r="X18" s="9">
        <v>0</v>
      </c>
      <c r="Y18">
        <f t="shared" si="7"/>
        <v>0</v>
      </c>
      <c r="AC18" s="36" t="s">
        <v>713</v>
      </c>
      <c r="AD18" s="26" t="s">
        <v>142</v>
      </c>
      <c r="AE18">
        <v>1</v>
      </c>
      <c r="AF18">
        <f t="shared" si="0"/>
        <v>0.36101083032490977</v>
      </c>
      <c r="AH18">
        <v>1</v>
      </c>
      <c r="AI18">
        <f t="shared" si="8"/>
        <v>0.52356020942408377</v>
      </c>
      <c r="AK18">
        <v>0</v>
      </c>
      <c r="AL18">
        <f t="shared" si="9"/>
        <v>0</v>
      </c>
      <c r="AN18">
        <v>0</v>
      </c>
      <c r="AO18">
        <f t="shared" si="10"/>
        <v>0</v>
      </c>
      <c r="AS18" s="36" t="s">
        <v>713</v>
      </c>
      <c r="AT18" s="27" t="s">
        <v>639</v>
      </c>
      <c r="AU18" s="9">
        <v>24</v>
      </c>
      <c r="AV18">
        <f t="shared" si="11"/>
        <v>0.88008800880088001</v>
      </c>
      <c r="AY18" s="36" t="s">
        <v>713</v>
      </c>
      <c r="AZ18" s="1" t="s">
        <v>171</v>
      </c>
      <c r="BA18">
        <v>2</v>
      </c>
      <c r="BB18">
        <f t="shared" si="12"/>
        <v>7.0348223707351387E-2</v>
      </c>
      <c r="BD18">
        <v>0</v>
      </c>
      <c r="BE18">
        <f t="shared" si="13"/>
        <v>0</v>
      </c>
      <c r="BG18">
        <v>0</v>
      </c>
      <c r="BH18">
        <f t="shared" si="14"/>
        <v>0</v>
      </c>
      <c r="BJ18">
        <v>0</v>
      </c>
      <c r="BK18">
        <f t="shared" si="15"/>
        <v>0</v>
      </c>
      <c r="BO18" s="36" t="s">
        <v>713</v>
      </c>
      <c r="BP18" s="1" t="s">
        <v>255</v>
      </c>
      <c r="BQ18">
        <v>3</v>
      </c>
      <c r="BR18">
        <f t="shared" si="1"/>
        <v>8.7336244541484712E-2</v>
      </c>
      <c r="BT18">
        <v>0</v>
      </c>
      <c r="BU18">
        <f t="shared" si="16"/>
        <v>0</v>
      </c>
      <c r="BW18">
        <v>0</v>
      </c>
      <c r="BX18">
        <f t="shared" si="17"/>
        <v>0</v>
      </c>
      <c r="BZ18">
        <v>0</v>
      </c>
      <c r="CA18">
        <f t="shared" si="18"/>
        <v>0</v>
      </c>
      <c r="CE18" s="36" t="s">
        <v>713</v>
      </c>
      <c r="CF18" t="s">
        <v>15</v>
      </c>
      <c r="CG18">
        <v>0</v>
      </c>
      <c r="CH18">
        <f t="shared" si="19"/>
        <v>0</v>
      </c>
      <c r="CJ18">
        <v>0</v>
      </c>
      <c r="CK18">
        <f t="shared" si="20"/>
        <v>0</v>
      </c>
      <c r="CM18">
        <v>2</v>
      </c>
      <c r="CN18">
        <f t="shared" si="21"/>
        <v>7.4822297044519259E-2</v>
      </c>
      <c r="CP18">
        <v>2</v>
      </c>
      <c r="CQ18">
        <f t="shared" si="22"/>
        <v>7.6365024818633068E-2</v>
      </c>
      <c r="CU18" s="36" t="s">
        <v>713</v>
      </c>
      <c r="CV18" t="s">
        <v>332</v>
      </c>
      <c r="CW18">
        <v>1</v>
      </c>
      <c r="CX18">
        <f t="shared" si="23"/>
        <v>0.12820512820512819</v>
      </c>
      <c r="DB18" s="36" t="s">
        <v>713</v>
      </c>
      <c r="DC18" t="s">
        <v>6</v>
      </c>
      <c r="DD18">
        <v>6</v>
      </c>
      <c r="DE18">
        <f t="shared" si="24"/>
        <v>5.0420168067226889</v>
      </c>
      <c r="DG18">
        <v>4</v>
      </c>
      <c r="DH18">
        <f t="shared" si="25"/>
        <v>2.877697841726619</v>
      </c>
      <c r="DJ18">
        <v>1</v>
      </c>
      <c r="DK18">
        <f t="shared" si="26"/>
        <v>0.25380710659898476</v>
      </c>
      <c r="DM18">
        <v>9</v>
      </c>
      <c r="DN18">
        <f t="shared" si="27"/>
        <v>4.5226130653266337</v>
      </c>
      <c r="DR18" s="36" t="s">
        <v>713</v>
      </c>
      <c r="DS18" t="s">
        <v>332</v>
      </c>
      <c r="DT18">
        <v>1</v>
      </c>
      <c r="DU18">
        <f t="shared" si="28"/>
        <v>0.5988023952095809</v>
      </c>
      <c r="DW18">
        <v>1</v>
      </c>
      <c r="DX18">
        <f t="shared" si="29"/>
        <v>0.37878787878787878</v>
      </c>
      <c r="DZ18">
        <v>0</v>
      </c>
      <c r="EA18">
        <f t="shared" si="30"/>
        <v>0</v>
      </c>
      <c r="EF18" s="28" t="s">
        <v>713</v>
      </c>
      <c r="EG18" s="28" t="s">
        <v>366</v>
      </c>
      <c r="EH18" s="28">
        <v>2</v>
      </c>
      <c r="EI18" s="28">
        <f>EH18/197*100</f>
        <v>1.015228426395939</v>
      </c>
      <c r="EJ18" s="28"/>
      <c r="EK18" s="28">
        <v>8</v>
      </c>
      <c r="EL18" s="28">
        <f>EK18/145*100</f>
        <v>5.5172413793103452</v>
      </c>
      <c r="EM18" s="28"/>
      <c r="EN18" s="28">
        <v>1</v>
      </c>
      <c r="EO18" s="28">
        <f t="shared" si="31"/>
        <v>0.60240963855421692</v>
      </c>
      <c r="EP18" s="28"/>
      <c r="EQ18" s="28">
        <v>0</v>
      </c>
      <c r="ER18">
        <f t="shared" si="32"/>
        <v>0</v>
      </c>
    </row>
    <row r="19" spans="1:148" x14ac:dyDescent="0.25">
      <c r="A19" s="36" t="s">
        <v>713</v>
      </c>
      <c r="B19" s="1" t="s">
        <v>88</v>
      </c>
      <c r="C19">
        <v>2</v>
      </c>
      <c r="D19">
        <f t="shared" si="2"/>
        <v>0.27510316368638238</v>
      </c>
      <c r="G19" s="36" t="s">
        <v>713</v>
      </c>
      <c r="H19" s="1" t="s">
        <v>53</v>
      </c>
      <c r="I19">
        <v>7</v>
      </c>
      <c r="J19">
        <f t="shared" si="3"/>
        <v>0.74074074074074081</v>
      </c>
      <c r="M19" s="9" t="s">
        <v>713</v>
      </c>
      <c r="N19" s="31" t="s">
        <v>196</v>
      </c>
      <c r="O19" s="9">
        <v>1</v>
      </c>
      <c r="P19" s="9">
        <f t="shared" si="4"/>
        <v>0.21598272138228944</v>
      </c>
      <c r="Q19" s="9"/>
      <c r="R19" s="9">
        <v>0</v>
      </c>
      <c r="S19" s="9">
        <f t="shared" si="5"/>
        <v>0</v>
      </c>
      <c r="T19" s="9"/>
      <c r="U19" s="9">
        <v>40</v>
      </c>
      <c r="V19" s="9">
        <f t="shared" si="6"/>
        <v>14.388489208633093</v>
      </c>
      <c r="W19" s="9"/>
      <c r="X19" s="9">
        <v>0</v>
      </c>
      <c r="Y19">
        <f t="shared" si="7"/>
        <v>0</v>
      </c>
      <c r="AC19" s="36" t="s">
        <v>713</v>
      </c>
      <c r="AD19" s="26" t="s">
        <v>143</v>
      </c>
      <c r="AE19">
        <v>4</v>
      </c>
      <c r="AF19">
        <f t="shared" si="0"/>
        <v>1.4440433212996391</v>
      </c>
      <c r="AH19">
        <v>0</v>
      </c>
      <c r="AI19">
        <f t="shared" si="8"/>
        <v>0</v>
      </c>
      <c r="AK19">
        <v>0</v>
      </c>
      <c r="AL19">
        <f t="shared" si="9"/>
        <v>0</v>
      </c>
      <c r="AN19">
        <v>0</v>
      </c>
      <c r="AO19">
        <f t="shared" si="10"/>
        <v>0</v>
      </c>
      <c r="AS19" s="36" t="s">
        <v>713</v>
      </c>
      <c r="AT19" s="27" t="s">
        <v>640</v>
      </c>
      <c r="AU19" s="9">
        <v>12</v>
      </c>
      <c r="AV19">
        <f t="shared" si="11"/>
        <v>0.44004400440044</v>
      </c>
      <c r="AY19" s="36" t="s">
        <v>713</v>
      </c>
      <c r="AZ19" t="s">
        <v>15</v>
      </c>
      <c r="BA19">
        <v>3</v>
      </c>
      <c r="BB19">
        <f t="shared" si="12"/>
        <v>0.10552233556102709</v>
      </c>
      <c r="BD19">
        <v>0</v>
      </c>
      <c r="BE19">
        <f t="shared" si="13"/>
        <v>0</v>
      </c>
      <c r="BG19">
        <v>0</v>
      </c>
      <c r="BH19">
        <f t="shared" si="14"/>
        <v>0</v>
      </c>
      <c r="BJ19">
        <v>0</v>
      </c>
      <c r="BK19">
        <f t="shared" si="15"/>
        <v>0</v>
      </c>
      <c r="BO19" s="36" t="s">
        <v>713</v>
      </c>
      <c r="BP19" t="s">
        <v>242</v>
      </c>
      <c r="BQ19">
        <v>1</v>
      </c>
      <c r="BR19">
        <f t="shared" si="1"/>
        <v>2.9112081513828242E-2</v>
      </c>
      <c r="BT19">
        <v>0</v>
      </c>
      <c r="BU19">
        <f t="shared" si="16"/>
        <v>0</v>
      </c>
      <c r="BW19">
        <v>0</v>
      </c>
      <c r="BX19">
        <f t="shared" si="17"/>
        <v>0</v>
      </c>
      <c r="BZ19">
        <v>3</v>
      </c>
      <c r="CA19">
        <f t="shared" si="18"/>
        <v>1.3513513513513513</v>
      </c>
      <c r="CE19" s="36" t="s">
        <v>713</v>
      </c>
      <c r="CF19" t="s">
        <v>227</v>
      </c>
      <c r="CG19">
        <v>0</v>
      </c>
      <c r="CH19">
        <f t="shared" si="19"/>
        <v>0</v>
      </c>
      <c r="CJ19">
        <v>0</v>
      </c>
      <c r="CK19">
        <f t="shared" si="20"/>
        <v>0</v>
      </c>
      <c r="CM19">
        <v>3</v>
      </c>
      <c r="CN19">
        <f t="shared" si="21"/>
        <v>0.11223344556677892</v>
      </c>
      <c r="CP19">
        <v>0</v>
      </c>
      <c r="CQ19">
        <f t="shared" si="22"/>
        <v>0</v>
      </c>
      <c r="CU19" s="36" t="s">
        <v>713</v>
      </c>
      <c r="CV19" t="s">
        <v>288</v>
      </c>
      <c r="CW19">
        <v>5</v>
      </c>
      <c r="CX19">
        <f t="shared" si="23"/>
        <v>0.64102564102564097</v>
      </c>
      <c r="DB19" s="36" t="s">
        <v>713</v>
      </c>
      <c r="DC19" t="s">
        <v>281</v>
      </c>
      <c r="DD19">
        <v>1</v>
      </c>
      <c r="DE19">
        <f t="shared" si="24"/>
        <v>0.84033613445378152</v>
      </c>
      <c r="DG19">
        <v>0</v>
      </c>
      <c r="DH19">
        <f t="shared" si="25"/>
        <v>0</v>
      </c>
      <c r="DJ19">
        <v>0</v>
      </c>
      <c r="DK19">
        <f t="shared" si="26"/>
        <v>0</v>
      </c>
      <c r="DM19">
        <v>0</v>
      </c>
      <c r="DN19">
        <f t="shared" si="27"/>
        <v>0</v>
      </c>
      <c r="DR19" s="36" t="s">
        <v>713</v>
      </c>
      <c r="DS19" t="s">
        <v>288</v>
      </c>
      <c r="DT19">
        <v>0</v>
      </c>
      <c r="DU19">
        <f t="shared" si="28"/>
        <v>0</v>
      </c>
      <c r="DW19">
        <v>2</v>
      </c>
      <c r="DX19">
        <f t="shared" si="29"/>
        <v>0.75757575757575757</v>
      </c>
      <c r="DZ19">
        <v>2</v>
      </c>
      <c r="EA19">
        <f t="shared" si="30"/>
        <v>0.64935064935064934</v>
      </c>
      <c r="EF19" s="28" t="s">
        <v>713</v>
      </c>
      <c r="EG19" s="28" t="s">
        <v>367</v>
      </c>
      <c r="EH19" s="28">
        <v>1</v>
      </c>
      <c r="EI19" s="28">
        <f>EH19/197*100</f>
        <v>0.50761421319796951</v>
      </c>
      <c r="EJ19" s="28"/>
      <c r="EK19" s="28">
        <v>5</v>
      </c>
      <c r="EL19" s="28">
        <f>EK19/145*100</f>
        <v>3.4482758620689653</v>
      </c>
      <c r="EM19" s="28"/>
      <c r="EN19" s="28">
        <v>0</v>
      </c>
      <c r="EO19" s="28">
        <f t="shared" si="31"/>
        <v>0</v>
      </c>
      <c r="EP19" s="28"/>
      <c r="EQ19" s="28">
        <v>0</v>
      </c>
      <c r="ER19">
        <f t="shared" si="32"/>
        <v>0</v>
      </c>
    </row>
    <row r="20" spans="1:148" x14ac:dyDescent="0.25">
      <c r="A20" s="36" t="s">
        <v>713</v>
      </c>
      <c r="B20" s="1" t="s">
        <v>127</v>
      </c>
      <c r="C20">
        <v>4</v>
      </c>
      <c r="D20">
        <f t="shared" si="2"/>
        <v>0.55020632737276476</v>
      </c>
      <c r="G20" s="36" t="s">
        <v>713</v>
      </c>
      <c r="H20" t="s">
        <v>82</v>
      </c>
      <c r="I20">
        <v>4</v>
      </c>
      <c r="J20">
        <f t="shared" si="3"/>
        <v>0.42328042328042331</v>
      </c>
      <c r="M20" s="9" t="s">
        <v>713</v>
      </c>
      <c r="N20" s="30" t="s">
        <v>7</v>
      </c>
      <c r="O20" s="9">
        <v>50</v>
      </c>
      <c r="P20" s="9">
        <f t="shared" si="4"/>
        <v>10.799136069114471</v>
      </c>
      <c r="Q20" s="9"/>
      <c r="R20" s="9">
        <v>64</v>
      </c>
      <c r="S20" s="9">
        <f t="shared" si="5"/>
        <v>25.910931174089068</v>
      </c>
      <c r="T20" s="9"/>
      <c r="U20" s="9">
        <v>27</v>
      </c>
      <c r="V20" s="9">
        <f t="shared" si="6"/>
        <v>9.7122302158273381</v>
      </c>
      <c r="W20" s="9"/>
      <c r="X20" s="9">
        <v>33</v>
      </c>
      <c r="Y20">
        <f t="shared" si="7"/>
        <v>32.352941176470587</v>
      </c>
      <c r="AC20" s="36" t="s">
        <v>713</v>
      </c>
      <c r="AD20" s="26" t="s">
        <v>34</v>
      </c>
      <c r="AE20">
        <v>1</v>
      </c>
      <c r="AF20">
        <f t="shared" si="0"/>
        <v>0.36101083032490977</v>
      </c>
      <c r="AH20">
        <v>1</v>
      </c>
      <c r="AI20">
        <f t="shared" si="8"/>
        <v>0.52356020942408377</v>
      </c>
      <c r="AK20">
        <v>0</v>
      </c>
      <c r="AL20">
        <f t="shared" si="9"/>
        <v>0</v>
      </c>
      <c r="AN20">
        <v>0</v>
      </c>
      <c r="AO20">
        <f t="shared" si="10"/>
        <v>0</v>
      </c>
      <c r="AS20" s="36" t="s">
        <v>713</v>
      </c>
      <c r="AT20" s="27" t="s">
        <v>641</v>
      </c>
      <c r="AU20" s="9">
        <v>6</v>
      </c>
      <c r="AV20">
        <f t="shared" si="11"/>
        <v>0.22002200220022</v>
      </c>
      <c r="AY20" s="36" t="s">
        <v>713</v>
      </c>
      <c r="AZ20" t="s">
        <v>227</v>
      </c>
      <c r="BA20">
        <v>3</v>
      </c>
      <c r="BB20">
        <f t="shared" si="12"/>
        <v>0.10552233556102709</v>
      </c>
      <c r="BD20">
        <v>5</v>
      </c>
      <c r="BE20">
        <f t="shared" si="13"/>
        <v>0.32573289902280134</v>
      </c>
      <c r="BG20">
        <v>2</v>
      </c>
      <c r="BH20">
        <f t="shared" si="14"/>
        <v>0.45454545454545453</v>
      </c>
      <c r="BJ20">
        <v>3</v>
      </c>
      <c r="BK20">
        <f t="shared" si="15"/>
        <v>1.0204081632653061</v>
      </c>
      <c r="BO20" s="36" t="s">
        <v>713</v>
      </c>
      <c r="BP20" t="s">
        <v>70</v>
      </c>
      <c r="BQ20">
        <v>3</v>
      </c>
      <c r="BR20">
        <f t="shared" si="1"/>
        <v>8.7336244541484712E-2</v>
      </c>
      <c r="BT20">
        <v>0</v>
      </c>
      <c r="BU20">
        <f t="shared" si="16"/>
        <v>0</v>
      </c>
      <c r="BW20">
        <v>0</v>
      </c>
      <c r="BX20">
        <f t="shared" si="17"/>
        <v>0</v>
      </c>
      <c r="BZ20">
        <v>2</v>
      </c>
      <c r="CA20">
        <f t="shared" si="18"/>
        <v>0.90090090090090091</v>
      </c>
      <c r="CE20" s="36" t="s">
        <v>713</v>
      </c>
      <c r="CF20" s="1" t="s">
        <v>9</v>
      </c>
      <c r="CG20">
        <v>8</v>
      </c>
      <c r="CH20">
        <f t="shared" si="19"/>
        <v>3.4934497816593884</v>
      </c>
      <c r="CJ20">
        <v>0</v>
      </c>
      <c r="CK20">
        <f t="shared" si="20"/>
        <v>0</v>
      </c>
      <c r="CM20">
        <v>0</v>
      </c>
      <c r="CN20">
        <f t="shared" si="21"/>
        <v>0</v>
      </c>
      <c r="CP20">
        <v>0</v>
      </c>
      <c r="CQ20">
        <f t="shared" si="22"/>
        <v>0</v>
      </c>
      <c r="CU20" s="36" t="s">
        <v>713</v>
      </c>
      <c r="CV20" t="s">
        <v>290</v>
      </c>
      <c r="CW20">
        <v>1</v>
      </c>
      <c r="CX20">
        <f t="shared" si="23"/>
        <v>0.12820512820512819</v>
      </c>
      <c r="DB20" s="36" t="s">
        <v>713</v>
      </c>
      <c r="DC20" t="s">
        <v>365</v>
      </c>
      <c r="DD20">
        <v>0</v>
      </c>
      <c r="DE20">
        <f t="shared" si="24"/>
        <v>0</v>
      </c>
      <c r="DG20">
        <v>0</v>
      </c>
      <c r="DH20">
        <f t="shared" si="25"/>
        <v>0</v>
      </c>
      <c r="DJ20">
        <v>3</v>
      </c>
      <c r="DK20">
        <f t="shared" si="26"/>
        <v>0.76142131979695438</v>
      </c>
      <c r="DM20">
        <v>1</v>
      </c>
      <c r="DN20">
        <f t="shared" si="27"/>
        <v>0.50251256281407031</v>
      </c>
      <c r="DR20" s="36" t="s">
        <v>713</v>
      </c>
      <c r="DS20" t="s">
        <v>170</v>
      </c>
      <c r="DT20">
        <v>0</v>
      </c>
      <c r="DU20">
        <f t="shared" si="28"/>
        <v>0</v>
      </c>
      <c r="DW20">
        <v>0</v>
      </c>
      <c r="DX20">
        <f t="shared" si="29"/>
        <v>0</v>
      </c>
      <c r="DZ20">
        <v>1</v>
      </c>
      <c r="EA20">
        <f t="shared" si="30"/>
        <v>0.32467532467532467</v>
      </c>
      <c r="EF20" s="28" t="s">
        <v>713</v>
      </c>
      <c r="EG20" s="28" t="s">
        <v>332</v>
      </c>
      <c r="EH20" s="28">
        <v>0</v>
      </c>
      <c r="EI20" s="28">
        <f>EH20/197*100</f>
        <v>0</v>
      </c>
      <c r="EJ20" s="28"/>
      <c r="EK20" s="28">
        <v>1</v>
      </c>
      <c r="EL20" s="28">
        <f>EK20/145*100</f>
        <v>0.68965517241379315</v>
      </c>
      <c r="EM20" s="28"/>
      <c r="EN20" s="28">
        <v>0</v>
      </c>
      <c r="EO20" s="28">
        <f t="shared" si="31"/>
        <v>0</v>
      </c>
      <c r="EP20" s="28"/>
      <c r="EQ20" s="28">
        <v>2</v>
      </c>
      <c r="ER20">
        <f t="shared" si="32"/>
        <v>2</v>
      </c>
    </row>
    <row r="21" spans="1:148" x14ac:dyDescent="0.25">
      <c r="A21" s="36" t="s">
        <v>713</v>
      </c>
      <c r="B21" t="s">
        <v>107</v>
      </c>
      <c r="C21">
        <v>6</v>
      </c>
      <c r="D21">
        <f t="shared" si="2"/>
        <v>0.82530949105914708</v>
      </c>
      <c r="G21" s="36" t="s">
        <v>713</v>
      </c>
      <c r="H21" s="1" t="s">
        <v>55</v>
      </c>
      <c r="I21">
        <v>3</v>
      </c>
      <c r="J21">
        <f t="shared" si="3"/>
        <v>0.31746031746031744</v>
      </c>
      <c r="M21" s="9" t="s">
        <v>713</v>
      </c>
      <c r="N21" s="26" t="s">
        <v>199</v>
      </c>
      <c r="O21" s="9">
        <v>2</v>
      </c>
      <c r="P21" s="9">
        <f t="shared" si="4"/>
        <v>0.43196544276457888</v>
      </c>
      <c r="Q21" s="9"/>
      <c r="R21" s="9">
        <v>0</v>
      </c>
      <c r="S21" s="9">
        <f t="shared" si="5"/>
        <v>0</v>
      </c>
      <c r="T21" s="9"/>
      <c r="U21" s="9">
        <v>0</v>
      </c>
      <c r="V21" s="9">
        <f t="shared" si="6"/>
        <v>0</v>
      </c>
      <c r="W21" s="9"/>
      <c r="X21" s="9">
        <v>0</v>
      </c>
      <c r="Y21">
        <f t="shared" si="7"/>
        <v>0</v>
      </c>
      <c r="AC21" s="36" t="s">
        <v>713</v>
      </c>
      <c r="AD21" s="26" t="s">
        <v>144</v>
      </c>
      <c r="AE21">
        <v>1</v>
      </c>
      <c r="AF21">
        <f t="shared" si="0"/>
        <v>0.36101083032490977</v>
      </c>
      <c r="AH21">
        <v>0</v>
      </c>
      <c r="AI21">
        <f t="shared" si="8"/>
        <v>0</v>
      </c>
      <c r="AK21">
        <v>0</v>
      </c>
      <c r="AL21">
        <f t="shared" si="9"/>
        <v>0</v>
      </c>
      <c r="AN21">
        <v>0</v>
      </c>
      <c r="AO21">
        <f t="shared" si="10"/>
        <v>0</v>
      </c>
      <c r="AS21" s="36" t="s">
        <v>713</v>
      </c>
      <c r="AT21" s="27" t="s">
        <v>642</v>
      </c>
      <c r="AU21" s="9">
        <v>3</v>
      </c>
      <c r="AV21">
        <f t="shared" si="11"/>
        <v>0.11001100110011</v>
      </c>
      <c r="AY21" s="36" t="s">
        <v>713</v>
      </c>
      <c r="AZ21" t="s">
        <v>176</v>
      </c>
      <c r="BA21">
        <v>30</v>
      </c>
      <c r="BB21">
        <f t="shared" si="12"/>
        <v>1.0552233556102708</v>
      </c>
      <c r="BD21">
        <v>0</v>
      </c>
      <c r="BE21">
        <f t="shared" si="13"/>
        <v>0</v>
      </c>
      <c r="BG21">
        <v>0</v>
      </c>
      <c r="BH21">
        <f t="shared" si="14"/>
        <v>0</v>
      </c>
      <c r="BJ21">
        <v>0</v>
      </c>
      <c r="BK21">
        <f t="shared" si="15"/>
        <v>0</v>
      </c>
      <c r="BO21" s="36" t="s">
        <v>713</v>
      </c>
      <c r="BP21" t="s">
        <v>211</v>
      </c>
      <c r="BQ21">
        <v>5</v>
      </c>
      <c r="BR21">
        <f t="shared" si="1"/>
        <v>0.14556040756914121</v>
      </c>
      <c r="BT21">
        <v>7</v>
      </c>
      <c r="BU21">
        <f t="shared" si="16"/>
        <v>2.2653721682847898</v>
      </c>
      <c r="BW21">
        <v>0</v>
      </c>
      <c r="BX21">
        <f t="shared" si="17"/>
        <v>0</v>
      </c>
      <c r="BZ21">
        <v>3</v>
      </c>
      <c r="CA21">
        <f t="shared" si="18"/>
        <v>1.3513513513513513</v>
      </c>
      <c r="CE21" s="36" t="s">
        <v>713</v>
      </c>
      <c r="CF21" s="1" t="s">
        <v>255</v>
      </c>
      <c r="CG21">
        <v>1</v>
      </c>
      <c r="CH21">
        <f t="shared" si="19"/>
        <v>0.43668122270742354</v>
      </c>
      <c r="CJ21">
        <v>0</v>
      </c>
      <c r="CK21">
        <f t="shared" si="20"/>
        <v>0</v>
      </c>
      <c r="CM21">
        <v>0</v>
      </c>
      <c r="CN21">
        <f t="shared" si="21"/>
        <v>0</v>
      </c>
      <c r="CP21">
        <v>0</v>
      </c>
      <c r="CQ21">
        <f t="shared" si="22"/>
        <v>0</v>
      </c>
      <c r="CU21" s="36" t="s">
        <v>713</v>
      </c>
      <c r="CV21" t="s">
        <v>369</v>
      </c>
      <c r="CW21">
        <v>4</v>
      </c>
      <c r="CX21">
        <f t="shared" si="23"/>
        <v>0.51282051282051277</v>
      </c>
      <c r="DB21" s="36" t="s">
        <v>713</v>
      </c>
      <c r="DC21" t="s">
        <v>55</v>
      </c>
      <c r="DD21">
        <v>3</v>
      </c>
      <c r="DE21">
        <f t="shared" si="24"/>
        <v>2.5210084033613445</v>
      </c>
      <c r="DG21">
        <v>6</v>
      </c>
      <c r="DH21">
        <f t="shared" si="25"/>
        <v>4.3165467625899279</v>
      </c>
      <c r="DJ21">
        <v>8</v>
      </c>
      <c r="DK21">
        <f t="shared" si="26"/>
        <v>2.030456852791878</v>
      </c>
      <c r="DM21">
        <v>4</v>
      </c>
      <c r="DN21">
        <f t="shared" si="27"/>
        <v>2.0100502512562812</v>
      </c>
      <c r="DR21" s="36" t="s">
        <v>713</v>
      </c>
      <c r="DS21" t="s">
        <v>383</v>
      </c>
      <c r="DT21">
        <v>1</v>
      </c>
      <c r="DU21">
        <f t="shared" si="28"/>
        <v>0.5988023952095809</v>
      </c>
      <c r="DW21">
        <v>0</v>
      </c>
      <c r="DX21">
        <f t="shared" si="29"/>
        <v>0</v>
      </c>
      <c r="DZ21">
        <v>0</v>
      </c>
      <c r="EA21">
        <f t="shared" si="30"/>
        <v>0</v>
      </c>
      <c r="EF21" s="28" t="s">
        <v>713</v>
      </c>
      <c r="EG21" s="28" t="s">
        <v>288</v>
      </c>
      <c r="EH21" s="28">
        <v>4</v>
      </c>
      <c r="EI21" s="28">
        <f>EH21/197*100</f>
        <v>2.030456852791878</v>
      </c>
      <c r="EJ21" s="28"/>
      <c r="EK21" s="28">
        <v>0</v>
      </c>
      <c r="EL21" s="28">
        <f>EK21/145*100</f>
        <v>0</v>
      </c>
      <c r="EM21" s="28"/>
      <c r="EN21" s="28">
        <v>0</v>
      </c>
      <c r="EO21" s="28">
        <f t="shared" si="31"/>
        <v>0</v>
      </c>
      <c r="EP21" s="28"/>
      <c r="EQ21" s="28">
        <v>0</v>
      </c>
      <c r="ER21">
        <f t="shared" si="32"/>
        <v>0</v>
      </c>
    </row>
    <row r="22" spans="1:148" ht="15.75" x14ac:dyDescent="0.25">
      <c r="A22" t="s">
        <v>714</v>
      </c>
      <c r="B22" s="6" t="s">
        <v>123</v>
      </c>
      <c r="C22">
        <v>12</v>
      </c>
      <c r="D22">
        <f t="shared" si="2"/>
        <v>1.6506189821182942</v>
      </c>
      <c r="G22" s="36" t="s">
        <v>713</v>
      </c>
      <c r="H22" s="1" t="s">
        <v>57</v>
      </c>
      <c r="I22">
        <v>14</v>
      </c>
      <c r="J22">
        <f t="shared" si="3"/>
        <v>1.4814814814814816</v>
      </c>
      <c r="M22" s="9" t="s">
        <v>713</v>
      </c>
      <c r="N22" s="26" t="s">
        <v>200</v>
      </c>
      <c r="O22" s="9">
        <v>2</v>
      </c>
      <c r="P22" s="9">
        <f t="shared" si="4"/>
        <v>0.43196544276457888</v>
      </c>
      <c r="Q22" s="9"/>
      <c r="R22" s="9">
        <v>0</v>
      </c>
      <c r="S22" s="9">
        <f t="shared" si="5"/>
        <v>0</v>
      </c>
      <c r="T22" s="9"/>
      <c r="U22" s="9">
        <v>0</v>
      </c>
      <c r="V22" s="9">
        <f t="shared" si="6"/>
        <v>0</v>
      </c>
      <c r="W22" s="9"/>
      <c r="X22" s="9">
        <v>0</v>
      </c>
      <c r="Y22">
        <f t="shared" si="7"/>
        <v>0</v>
      </c>
      <c r="AC22" s="36" t="s">
        <v>713</v>
      </c>
      <c r="AD22" s="26" t="s">
        <v>146</v>
      </c>
      <c r="AE22">
        <v>3</v>
      </c>
      <c r="AF22">
        <f t="shared" si="0"/>
        <v>1.0830324909747291</v>
      </c>
      <c r="AH22">
        <v>2</v>
      </c>
      <c r="AI22">
        <f t="shared" si="8"/>
        <v>1.0471204188481675</v>
      </c>
      <c r="AK22">
        <v>1</v>
      </c>
      <c r="AL22">
        <f t="shared" si="9"/>
        <v>0.48309178743961351</v>
      </c>
      <c r="AN22">
        <v>2</v>
      </c>
      <c r="AO22">
        <f t="shared" si="10"/>
        <v>1.1111111111111112</v>
      </c>
      <c r="AS22" s="36" t="s">
        <v>713</v>
      </c>
      <c r="AT22" s="27" t="s">
        <v>643</v>
      </c>
      <c r="AU22" s="9">
        <v>26</v>
      </c>
      <c r="AV22">
        <f t="shared" si="11"/>
        <v>0.95342867620095351</v>
      </c>
      <c r="AY22" s="36" t="s">
        <v>713</v>
      </c>
      <c r="AZ22" t="s">
        <v>228</v>
      </c>
      <c r="BA22">
        <v>1</v>
      </c>
      <c r="BB22">
        <f t="shared" si="12"/>
        <v>3.5174111853675694E-2</v>
      </c>
      <c r="BD22">
        <v>0</v>
      </c>
      <c r="BE22">
        <f t="shared" si="13"/>
        <v>0</v>
      </c>
      <c r="BG22">
        <v>0</v>
      </c>
      <c r="BH22">
        <f t="shared" si="14"/>
        <v>0</v>
      </c>
      <c r="BJ22">
        <v>0</v>
      </c>
      <c r="BK22">
        <f t="shared" si="15"/>
        <v>0</v>
      </c>
      <c r="BO22" s="36" t="s">
        <v>713</v>
      </c>
      <c r="BP22" s="1" t="s">
        <v>239</v>
      </c>
      <c r="BQ22">
        <v>19</v>
      </c>
      <c r="BR22">
        <f t="shared" si="1"/>
        <v>0.55312954876273646</v>
      </c>
      <c r="BT22">
        <v>7</v>
      </c>
      <c r="BU22">
        <f t="shared" si="16"/>
        <v>2.2653721682847898</v>
      </c>
      <c r="BW22">
        <v>4</v>
      </c>
      <c r="BX22">
        <f t="shared" si="17"/>
        <v>0.24829298572315331</v>
      </c>
      <c r="BZ22">
        <v>0</v>
      </c>
      <c r="CA22">
        <f t="shared" si="18"/>
        <v>0</v>
      </c>
      <c r="CE22" s="36" t="s">
        <v>713</v>
      </c>
      <c r="CF22" t="s">
        <v>242</v>
      </c>
      <c r="CG22">
        <v>1</v>
      </c>
      <c r="CH22">
        <f t="shared" si="19"/>
        <v>0.43668122270742354</v>
      </c>
      <c r="CJ22">
        <v>3</v>
      </c>
      <c r="CK22">
        <f t="shared" si="20"/>
        <v>0.67114093959731547</v>
      </c>
      <c r="CM22">
        <v>1</v>
      </c>
      <c r="CN22">
        <f t="shared" si="21"/>
        <v>3.741114852225963E-2</v>
      </c>
      <c r="CP22">
        <v>18</v>
      </c>
      <c r="CQ22">
        <f t="shared" si="22"/>
        <v>0.6872852233676976</v>
      </c>
      <c r="CU22" s="36" t="s">
        <v>713</v>
      </c>
      <c r="CV22" t="s">
        <v>561</v>
      </c>
      <c r="CW22">
        <v>1</v>
      </c>
      <c r="CX22">
        <f t="shared" si="23"/>
        <v>0.12820512820512819</v>
      </c>
      <c r="DB22" s="36" t="s">
        <v>713</v>
      </c>
      <c r="DC22" t="s">
        <v>49</v>
      </c>
      <c r="DD22">
        <v>1</v>
      </c>
      <c r="DE22">
        <f t="shared" si="24"/>
        <v>0.84033613445378152</v>
      </c>
      <c r="DG22">
        <v>1</v>
      </c>
      <c r="DH22">
        <f t="shared" si="25"/>
        <v>0.71942446043165476</v>
      </c>
      <c r="DJ22">
        <v>7</v>
      </c>
      <c r="DK22">
        <f t="shared" si="26"/>
        <v>1.7766497461928936</v>
      </c>
      <c r="DM22">
        <v>1</v>
      </c>
      <c r="DN22">
        <f t="shared" si="27"/>
        <v>0.50251256281407031</v>
      </c>
      <c r="DR22" s="36" t="s">
        <v>713</v>
      </c>
      <c r="DS22" t="s">
        <v>386</v>
      </c>
      <c r="DT22">
        <v>0</v>
      </c>
      <c r="DU22">
        <f t="shared" si="28"/>
        <v>0</v>
      </c>
      <c r="DW22">
        <v>5</v>
      </c>
      <c r="DX22">
        <f t="shared" si="29"/>
        <v>1.893939393939394</v>
      </c>
      <c r="DZ22">
        <v>3</v>
      </c>
      <c r="EA22">
        <f t="shared" si="30"/>
        <v>0.97402597402597402</v>
      </c>
      <c r="EF22" s="28" t="s">
        <v>713</v>
      </c>
      <c r="EG22" s="28" t="s">
        <v>383</v>
      </c>
      <c r="EH22" s="28">
        <v>2</v>
      </c>
      <c r="EI22" s="28">
        <f>EH22/197*100</f>
        <v>1.015228426395939</v>
      </c>
      <c r="EJ22" s="28"/>
      <c r="EK22" s="28">
        <v>2</v>
      </c>
      <c r="EL22" s="28">
        <f>EK22/145*100</f>
        <v>1.3793103448275863</v>
      </c>
      <c r="EM22" s="28"/>
      <c r="EN22" s="28">
        <v>1</v>
      </c>
      <c r="EO22" s="28">
        <f t="shared" si="31"/>
        <v>0.60240963855421692</v>
      </c>
      <c r="EP22" s="28"/>
      <c r="EQ22" s="28">
        <v>0</v>
      </c>
      <c r="ER22">
        <f t="shared" si="32"/>
        <v>0</v>
      </c>
    </row>
    <row r="23" spans="1:148" ht="15.75" x14ac:dyDescent="0.25">
      <c r="A23" s="36" t="s">
        <v>714</v>
      </c>
      <c r="B23" s="7" t="s">
        <v>124</v>
      </c>
      <c r="C23">
        <v>24</v>
      </c>
      <c r="D23">
        <f t="shared" si="2"/>
        <v>3.3012379642365883</v>
      </c>
      <c r="G23" s="36" t="s">
        <v>713</v>
      </c>
      <c r="H23" s="1" t="s">
        <v>58</v>
      </c>
      <c r="I23">
        <v>3</v>
      </c>
      <c r="J23">
        <f t="shared" si="3"/>
        <v>0.31746031746031744</v>
      </c>
      <c r="M23" s="9" t="s">
        <v>713</v>
      </c>
      <c r="N23" s="9" t="s">
        <v>105</v>
      </c>
      <c r="O23" s="9">
        <v>5</v>
      </c>
      <c r="P23" s="9">
        <f t="shared" si="4"/>
        <v>1.079913606911447</v>
      </c>
      <c r="Q23" s="9"/>
      <c r="R23" s="9">
        <v>0</v>
      </c>
      <c r="S23" s="9">
        <f t="shared" si="5"/>
        <v>0</v>
      </c>
      <c r="T23" s="9"/>
      <c r="U23" s="9">
        <v>0</v>
      </c>
      <c r="V23" s="9">
        <f t="shared" si="6"/>
        <v>0</v>
      </c>
      <c r="W23" s="9"/>
      <c r="X23" s="9">
        <v>0</v>
      </c>
      <c r="Y23">
        <f t="shared" si="7"/>
        <v>0</v>
      </c>
      <c r="AC23" s="36" t="s">
        <v>713</v>
      </c>
      <c r="AD23" s="26" t="s">
        <v>147</v>
      </c>
      <c r="AE23">
        <v>1</v>
      </c>
      <c r="AF23">
        <f t="shared" si="0"/>
        <v>0.36101083032490977</v>
      </c>
      <c r="AH23">
        <v>30</v>
      </c>
      <c r="AI23">
        <f t="shared" si="8"/>
        <v>15.706806282722512</v>
      </c>
      <c r="AK23">
        <v>0</v>
      </c>
      <c r="AL23">
        <f t="shared" si="9"/>
        <v>0</v>
      </c>
      <c r="AN23">
        <v>0</v>
      </c>
      <c r="AO23">
        <f t="shared" si="10"/>
        <v>0</v>
      </c>
      <c r="AS23" s="36" t="s">
        <v>713</v>
      </c>
      <c r="AT23" s="27" t="s">
        <v>645</v>
      </c>
      <c r="AU23" s="9">
        <v>5</v>
      </c>
      <c r="AV23">
        <f t="shared" si="11"/>
        <v>0.18335166850018336</v>
      </c>
      <c r="AY23" s="36" t="s">
        <v>713</v>
      </c>
      <c r="AZ23" t="s">
        <v>242</v>
      </c>
      <c r="BA23">
        <v>0</v>
      </c>
      <c r="BB23">
        <f t="shared" si="12"/>
        <v>0</v>
      </c>
      <c r="BD23">
        <v>1</v>
      </c>
      <c r="BE23">
        <f t="shared" si="13"/>
        <v>6.5146579804560262E-2</v>
      </c>
      <c r="BG23">
        <v>3</v>
      </c>
      <c r="BH23">
        <f t="shared" si="14"/>
        <v>0.68181818181818177</v>
      </c>
      <c r="BJ23">
        <v>0</v>
      </c>
      <c r="BK23">
        <f t="shared" si="15"/>
        <v>0</v>
      </c>
      <c r="BO23" s="36" t="s">
        <v>713</v>
      </c>
      <c r="BP23" t="s">
        <v>238</v>
      </c>
      <c r="BQ23">
        <v>0</v>
      </c>
      <c r="BR23">
        <f t="shared" si="1"/>
        <v>0</v>
      </c>
      <c r="BT23">
        <v>1</v>
      </c>
      <c r="BU23">
        <f t="shared" si="16"/>
        <v>0.3236245954692557</v>
      </c>
      <c r="BW23">
        <v>0</v>
      </c>
      <c r="BX23">
        <f t="shared" si="17"/>
        <v>0</v>
      </c>
      <c r="BZ23">
        <v>0</v>
      </c>
      <c r="CA23">
        <f t="shared" si="18"/>
        <v>0</v>
      </c>
      <c r="CE23" s="36" t="s">
        <v>713</v>
      </c>
      <c r="CF23" t="s">
        <v>70</v>
      </c>
      <c r="CG23">
        <v>9</v>
      </c>
      <c r="CH23">
        <f t="shared" si="19"/>
        <v>3.9301310043668125</v>
      </c>
      <c r="CJ23">
        <v>11</v>
      </c>
      <c r="CK23">
        <f t="shared" si="20"/>
        <v>2.4608501118568231</v>
      </c>
      <c r="CM23">
        <v>9</v>
      </c>
      <c r="CN23">
        <f t="shared" si="21"/>
        <v>0.33670033670033667</v>
      </c>
      <c r="CP23">
        <v>9</v>
      </c>
      <c r="CQ23">
        <f t="shared" si="22"/>
        <v>0.3436426116838488</v>
      </c>
      <c r="CU23" s="36" t="s">
        <v>713</v>
      </c>
      <c r="CV23" t="s">
        <v>157</v>
      </c>
      <c r="CW23">
        <v>2</v>
      </c>
      <c r="CX23">
        <f t="shared" si="23"/>
        <v>0.25641025641025639</v>
      </c>
      <c r="DB23" s="36" t="s">
        <v>713</v>
      </c>
      <c r="DC23" t="s">
        <v>374</v>
      </c>
      <c r="DD23">
        <v>2</v>
      </c>
      <c r="DE23">
        <f t="shared" si="24"/>
        <v>1.680672268907563</v>
      </c>
      <c r="DG23">
        <v>0</v>
      </c>
      <c r="DH23">
        <f t="shared" si="25"/>
        <v>0</v>
      </c>
      <c r="DJ23">
        <v>4</v>
      </c>
      <c r="DK23">
        <f t="shared" si="26"/>
        <v>1.015228426395939</v>
      </c>
      <c r="DM23">
        <v>3</v>
      </c>
      <c r="DN23">
        <f t="shared" si="27"/>
        <v>1.5075376884422109</v>
      </c>
      <c r="DR23" s="36" t="s">
        <v>713</v>
      </c>
      <c r="DS23" t="s">
        <v>323</v>
      </c>
      <c r="DT23">
        <v>0</v>
      </c>
      <c r="DU23">
        <f t="shared" si="28"/>
        <v>0</v>
      </c>
      <c r="DW23">
        <v>1</v>
      </c>
      <c r="DX23">
        <f t="shared" si="29"/>
        <v>0.37878787878787878</v>
      </c>
      <c r="DZ23">
        <v>0</v>
      </c>
      <c r="EA23">
        <f t="shared" si="30"/>
        <v>0</v>
      </c>
      <c r="EF23" s="28" t="s">
        <v>713</v>
      </c>
      <c r="EG23" s="28" t="s">
        <v>386</v>
      </c>
      <c r="EH23" s="28">
        <v>0</v>
      </c>
      <c r="EI23" s="28">
        <f>EH23/197*100</f>
        <v>0</v>
      </c>
      <c r="EJ23" s="28"/>
      <c r="EK23" s="28">
        <v>1</v>
      </c>
      <c r="EL23" s="28">
        <f>EK23/145*100</f>
        <v>0.68965517241379315</v>
      </c>
      <c r="EM23" s="28"/>
      <c r="EN23" s="28">
        <v>1</v>
      </c>
      <c r="EO23" s="28">
        <f t="shared" si="31"/>
        <v>0.60240963855421692</v>
      </c>
      <c r="EP23" s="28"/>
      <c r="EQ23" s="28">
        <v>3</v>
      </c>
      <c r="ER23">
        <f t="shared" si="32"/>
        <v>3</v>
      </c>
    </row>
    <row r="24" spans="1:148" x14ac:dyDescent="0.25">
      <c r="A24" s="36" t="s">
        <v>714</v>
      </c>
      <c r="B24" s="1" t="s">
        <v>128</v>
      </c>
      <c r="C24">
        <v>2</v>
      </c>
      <c r="D24">
        <f t="shared" si="2"/>
        <v>0.27510316368638238</v>
      </c>
      <c r="G24" s="36" t="s">
        <v>713</v>
      </c>
      <c r="H24" t="s">
        <v>85</v>
      </c>
      <c r="I24">
        <v>7</v>
      </c>
      <c r="J24">
        <f t="shared" si="3"/>
        <v>0.74074074074074081</v>
      </c>
      <c r="M24" s="9" t="s">
        <v>713</v>
      </c>
      <c r="N24" s="26" t="s">
        <v>62</v>
      </c>
      <c r="O24" s="9">
        <v>1</v>
      </c>
      <c r="P24" s="9">
        <f t="shared" si="4"/>
        <v>0.21598272138228944</v>
      </c>
      <c r="Q24" s="9"/>
      <c r="R24" s="9">
        <v>0</v>
      </c>
      <c r="S24" s="9">
        <f t="shared" si="5"/>
        <v>0</v>
      </c>
      <c r="T24" s="9"/>
      <c r="U24" s="9">
        <v>1</v>
      </c>
      <c r="V24" s="9">
        <f t="shared" si="6"/>
        <v>0.35971223021582738</v>
      </c>
      <c r="W24" s="9"/>
      <c r="X24" s="9">
        <v>0</v>
      </c>
      <c r="Y24">
        <f t="shared" si="7"/>
        <v>0</v>
      </c>
      <c r="AC24" s="36" t="s">
        <v>713</v>
      </c>
      <c r="AD24" s="26" t="s">
        <v>55</v>
      </c>
      <c r="AE24">
        <v>1</v>
      </c>
      <c r="AF24">
        <f t="shared" si="0"/>
        <v>0.36101083032490977</v>
      </c>
      <c r="AH24">
        <v>1</v>
      </c>
      <c r="AI24">
        <f t="shared" si="8"/>
        <v>0.52356020942408377</v>
      </c>
      <c r="AK24">
        <v>2</v>
      </c>
      <c r="AL24">
        <f t="shared" si="9"/>
        <v>0.96618357487922701</v>
      </c>
      <c r="AN24">
        <v>0</v>
      </c>
      <c r="AO24">
        <f t="shared" si="10"/>
        <v>0</v>
      </c>
      <c r="AS24" s="36" t="s">
        <v>713</v>
      </c>
      <c r="AT24" s="27" t="s">
        <v>647</v>
      </c>
      <c r="AU24" s="9">
        <v>13</v>
      </c>
      <c r="AV24">
        <f t="shared" si="11"/>
        <v>0.47671433810047675</v>
      </c>
      <c r="AY24" s="36" t="s">
        <v>713</v>
      </c>
      <c r="AZ24" t="s">
        <v>70</v>
      </c>
      <c r="BA24">
        <v>0</v>
      </c>
      <c r="BB24">
        <f t="shared" si="12"/>
        <v>0</v>
      </c>
      <c r="BD24">
        <v>1</v>
      </c>
      <c r="BE24">
        <f t="shared" si="13"/>
        <v>6.5146579804560262E-2</v>
      </c>
      <c r="BG24">
        <v>1</v>
      </c>
      <c r="BH24">
        <f t="shared" si="14"/>
        <v>0.22727272727272727</v>
      </c>
      <c r="BJ24">
        <v>0</v>
      </c>
      <c r="BK24">
        <f t="shared" si="15"/>
        <v>0</v>
      </c>
      <c r="BO24" s="36" t="s">
        <v>713</v>
      </c>
      <c r="BP24" t="s">
        <v>263</v>
      </c>
      <c r="BQ24">
        <v>0</v>
      </c>
      <c r="BR24">
        <f t="shared" si="1"/>
        <v>0</v>
      </c>
      <c r="BT24">
        <v>1</v>
      </c>
      <c r="BU24">
        <f t="shared" si="16"/>
        <v>0.3236245954692557</v>
      </c>
      <c r="BW24">
        <v>0</v>
      </c>
      <c r="BX24">
        <f t="shared" si="17"/>
        <v>0</v>
      </c>
      <c r="BZ24">
        <v>0</v>
      </c>
      <c r="CA24">
        <f t="shared" si="18"/>
        <v>0</v>
      </c>
      <c r="CE24" s="36" t="s">
        <v>713</v>
      </c>
      <c r="CF24" t="s">
        <v>281</v>
      </c>
      <c r="CG24">
        <v>2</v>
      </c>
      <c r="CH24">
        <f t="shared" si="19"/>
        <v>0.87336244541484709</v>
      </c>
      <c r="CJ24">
        <v>0</v>
      </c>
      <c r="CK24">
        <f t="shared" si="20"/>
        <v>0</v>
      </c>
      <c r="CM24">
        <v>0</v>
      </c>
      <c r="CN24">
        <f t="shared" si="21"/>
        <v>0</v>
      </c>
      <c r="CP24">
        <v>0</v>
      </c>
      <c r="CQ24">
        <f t="shared" si="22"/>
        <v>0</v>
      </c>
      <c r="CU24" t="s">
        <v>715</v>
      </c>
      <c r="CV24" t="s">
        <v>350</v>
      </c>
      <c r="CW24">
        <v>31</v>
      </c>
      <c r="CX24">
        <f t="shared" si="23"/>
        <v>3.974358974358974</v>
      </c>
      <c r="DB24" s="36" t="s">
        <v>713</v>
      </c>
      <c r="DC24" t="s">
        <v>366</v>
      </c>
      <c r="DD24">
        <v>2</v>
      </c>
      <c r="DE24">
        <f t="shared" si="24"/>
        <v>1.680672268907563</v>
      </c>
      <c r="DG24">
        <v>8</v>
      </c>
      <c r="DH24">
        <f t="shared" si="25"/>
        <v>5.755395683453238</v>
      </c>
      <c r="DJ24">
        <v>1</v>
      </c>
      <c r="DK24">
        <f t="shared" si="26"/>
        <v>0.25380710659898476</v>
      </c>
      <c r="DM24">
        <v>0</v>
      </c>
      <c r="DN24">
        <f t="shared" si="27"/>
        <v>0</v>
      </c>
      <c r="DR24" s="36" t="s">
        <v>713</v>
      </c>
      <c r="DS24" t="s">
        <v>158</v>
      </c>
      <c r="DT24">
        <v>0</v>
      </c>
      <c r="DU24">
        <f t="shared" si="28"/>
        <v>0</v>
      </c>
      <c r="DW24">
        <v>0</v>
      </c>
      <c r="DX24">
        <f t="shared" si="29"/>
        <v>0</v>
      </c>
      <c r="DZ24">
        <v>1</v>
      </c>
      <c r="EA24">
        <f t="shared" si="30"/>
        <v>0.32467532467532467</v>
      </c>
      <c r="EF24" s="28" t="s">
        <v>713</v>
      </c>
      <c r="EG24" s="28" t="s">
        <v>396</v>
      </c>
      <c r="EH24" s="28">
        <v>2</v>
      </c>
      <c r="EI24" s="28">
        <f>EH24/197*100</f>
        <v>1.015228426395939</v>
      </c>
      <c r="EJ24" s="28"/>
      <c r="EK24" s="28">
        <v>2</v>
      </c>
      <c r="EL24" s="28">
        <f>EK24/145*100</f>
        <v>1.3793103448275863</v>
      </c>
      <c r="EM24" s="28"/>
      <c r="EN24" s="28">
        <v>0</v>
      </c>
      <c r="EO24" s="28">
        <f t="shared" si="31"/>
        <v>0</v>
      </c>
      <c r="EP24" s="28"/>
      <c r="EQ24" s="28">
        <v>3</v>
      </c>
      <c r="ER24">
        <f t="shared" si="32"/>
        <v>3</v>
      </c>
    </row>
    <row r="25" spans="1:148" x14ac:dyDescent="0.25">
      <c r="A25" s="36" t="s">
        <v>714</v>
      </c>
      <c r="B25" s="1" t="s">
        <v>130</v>
      </c>
      <c r="C25">
        <v>3</v>
      </c>
      <c r="D25">
        <f t="shared" si="2"/>
        <v>0.41265474552957354</v>
      </c>
      <c r="G25" s="36" t="s">
        <v>713</v>
      </c>
      <c r="H25" t="s">
        <v>86</v>
      </c>
      <c r="I25">
        <v>8</v>
      </c>
      <c r="J25">
        <f t="shared" si="3"/>
        <v>0.84656084656084662</v>
      </c>
      <c r="M25" s="9" t="s">
        <v>713</v>
      </c>
      <c r="N25" s="9" t="s">
        <v>204</v>
      </c>
      <c r="O25" s="9">
        <v>6</v>
      </c>
      <c r="P25" s="9">
        <f t="shared" si="4"/>
        <v>1.2958963282937366</v>
      </c>
      <c r="Q25" s="9"/>
      <c r="R25" s="9">
        <v>1</v>
      </c>
      <c r="S25" s="9">
        <f t="shared" si="5"/>
        <v>0.40485829959514169</v>
      </c>
      <c r="T25" s="9"/>
      <c r="U25" s="9">
        <v>10</v>
      </c>
      <c r="V25" s="9">
        <f t="shared" si="6"/>
        <v>3.5971223021582732</v>
      </c>
      <c r="W25" s="9"/>
      <c r="X25" s="9">
        <v>15</v>
      </c>
      <c r="Y25">
        <f t="shared" si="7"/>
        <v>14.705882352941178</v>
      </c>
      <c r="AC25" s="36" t="s">
        <v>713</v>
      </c>
      <c r="AD25" s="26" t="s">
        <v>148</v>
      </c>
      <c r="AE25">
        <v>1</v>
      </c>
      <c r="AF25">
        <f t="shared" si="0"/>
        <v>0.36101083032490977</v>
      </c>
      <c r="AH25">
        <v>1</v>
      </c>
      <c r="AI25">
        <f t="shared" si="8"/>
        <v>0.52356020942408377</v>
      </c>
      <c r="AK25">
        <v>1</v>
      </c>
      <c r="AL25">
        <f t="shared" si="9"/>
        <v>0.48309178743961351</v>
      </c>
      <c r="AN25">
        <v>0</v>
      </c>
      <c r="AO25">
        <f t="shared" si="10"/>
        <v>0</v>
      </c>
      <c r="AS25" s="36" t="s">
        <v>713</v>
      </c>
      <c r="AT25" s="26" t="s">
        <v>90</v>
      </c>
      <c r="AU25" s="9">
        <v>1</v>
      </c>
      <c r="AV25">
        <f t="shared" si="11"/>
        <v>3.6670333700036667E-2</v>
      </c>
      <c r="AY25" s="36" t="s">
        <v>713</v>
      </c>
      <c r="AZ25" t="s">
        <v>211</v>
      </c>
      <c r="BA25">
        <v>0</v>
      </c>
      <c r="BB25">
        <f t="shared" si="12"/>
        <v>0</v>
      </c>
      <c r="BD25">
        <v>2</v>
      </c>
      <c r="BE25">
        <f t="shared" si="13"/>
        <v>0.13029315960912052</v>
      </c>
      <c r="BG25">
        <v>1</v>
      </c>
      <c r="BH25">
        <f t="shared" si="14"/>
        <v>0.22727272727272727</v>
      </c>
      <c r="BJ25">
        <v>0</v>
      </c>
      <c r="BK25">
        <f t="shared" si="15"/>
        <v>0</v>
      </c>
      <c r="BO25" s="36" t="s">
        <v>713</v>
      </c>
      <c r="BP25" t="s">
        <v>235</v>
      </c>
      <c r="BQ25">
        <v>2</v>
      </c>
      <c r="BR25">
        <f t="shared" si="1"/>
        <v>5.8224163027656484E-2</v>
      </c>
      <c r="BT25">
        <v>7</v>
      </c>
      <c r="BU25">
        <f t="shared" si="16"/>
        <v>2.2653721682847898</v>
      </c>
      <c r="BW25">
        <v>0</v>
      </c>
      <c r="BX25">
        <f t="shared" si="17"/>
        <v>0</v>
      </c>
      <c r="BZ25">
        <v>3</v>
      </c>
      <c r="CA25">
        <f t="shared" si="18"/>
        <v>1.3513513513513513</v>
      </c>
      <c r="CE25" s="36" t="s">
        <v>713</v>
      </c>
      <c r="CF25" t="s">
        <v>238</v>
      </c>
      <c r="CG25">
        <v>2</v>
      </c>
      <c r="CH25">
        <f t="shared" si="19"/>
        <v>0.87336244541484709</v>
      </c>
      <c r="CJ25">
        <v>4</v>
      </c>
      <c r="CK25">
        <f t="shared" si="20"/>
        <v>0.89485458612975388</v>
      </c>
      <c r="CM25">
        <v>2</v>
      </c>
      <c r="CN25">
        <f t="shared" si="21"/>
        <v>7.4822297044519259E-2</v>
      </c>
      <c r="CP25">
        <v>3</v>
      </c>
      <c r="CQ25">
        <f t="shared" si="22"/>
        <v>0.11454753722794961</v>
      </c>
      <c r="CU25" s="36" t="s">
        <v>715</v>
      </c>
      <c r="CV25" t="s">
        <v>275</v>
      </c>
      <c r="CW25">
        <v>61</v>
      </c>
      <c r="CX25">
        <f t="shared" si="23"/>
        <v>7.8205128205128203</v>
      </c>
      <c r="DB25" s="36" t="s">
        <v>713</v>
      </c>
      <c r="DC25" t="s">
        <v>367</v>
      </c>
      <c r="DD25">
        <v>5</v>
      </c>
      <c r="DE25">
        <f t="shared" si="24"/>
        <v>4.2016806722689077</v>
      </c>
      <c r="DG25">
        <v>1</v>
      </c>
      <c r="DH25">
        <f t="shared" si="25"/>
        <v>0.71942446043165476</v>
      </c>
      <c r="DJ25">
        <v>0</v>
      </c>
      <c r="DK25">
        <f t="shared" si="26"/>
        <v>0</v>
      </c>
      <c r="DM25">
        <v>0</v>
      </c>
      <c r="DN25">
        <f t="shared" si="27"/>
        <v>0</v>
      </c>
      <c r="DR25" s="36" t="s">
        <v>713</v>
      </c>
      <c r="DS25" t="s">
        <v>200</v>
      </c>
      <c r="DT25">
        <v>0</v>
      </c>
      <c r="DU25">
        <f t="shared" si="28"/>
        <v>0</v>
      </c>
      <c r="DW25">
        <v>0</v>
      </c>
      <c r="DX25">
        <f t="shared" si="29"/>
        <v>0</v>
      </c>
      <c r="DZ25">
        <v>1</v>
      </c>
      <c r="EA25">
        <f t="shared" si="30"/>
        <v>0.32467532467532467</v>
      </c>
      <c r="EF25" s="28" t="s">
        <v>713</v>
      </c>
      <c r="EG25" s="28" t="s">
        <v>158</v>
      </c>
      <c r="EH25" s="28">
        <v>0</v>
      </c>
      <c r="EI25" s="28">
        <f>EH25/197*100</f>
        <v>0</v>
      </c>
      <c r="EJ25" s="28"/>
      <c r="EK25" s="28">
        <v>1</v>
      </c>
      <c r="EL25" s="28">
        <f>EK25/145*100</f>
        <v>0.68965517241379315</v>
      </c>
      <c r="EM25" s="28"/>
      <c r="EN25" s="28">
        <v>0</v>
      </c>
      <c r="EO25" s="28">
        <f t="shared" si="31"/>
        <v>0</v>
      </c>
      <c r="EP25" s="28"/>
      <c r="EQ25" s="28">
        <v>0</v>
      </c>
      <c r="ER25">
        <f t="shared" si="32"/>
        <v>0</v>
      </c>
    </row>
    <row r="26" spans="1:148" x14ac:dyDescent="0.25">
      <c r="A26" t="s">
        <v>316</v>
      </c>
      <c r="B26" s="1" t="s">
        <v>121</v>
      </c>
      <c r="C26">
        <v>17</v>
      </c>
      <c r="D26">
        <f t="shared" si="2"/>
        <v>2.3383768913342506</v>
      </c>
      <c r="G26" s="36" t="s">
        <v>713</v>
      </c>
      <c r="H26" s="1" t="s">
        <v>59</v>
      </c>
      <c r="I26">
        <v>1</v>
      </c>
      <c r="J26">
        <f t="shared" si="3"/>
        <v>0.10582010582010583</v>
      </c>
      <c r="M26" s="9" t="s">
        <v>713</v>
      </c>
      <c r="N26" s="9" t="s">
        <v>205</v>
      </c>
      <c r="O26" s="9">
        <v>2</v>
      </c>
      <c r="P26" s="9">
        <f t="shared" si="4"/>
        <v>0.43196544276457888</v>
      </c>
      <c r="Q26" s="9"/>
      <c r="R26" s="9">
        <v>0</v>
      </c>
      <c r="S26" s="9">
        <f t="shared" si="5"/>
        <v>0</v>
      </c>
      <c r="T26" s="9"/>
      <c r="U26" s="9">
        <v>0</v>
      </c>
      <c r="V26" s="9">
        <f t="shared" si="6"/>
        <v>0</v>
      </c>
      <c r="W26" s="9"/>
      <c r="X26" s="9">
        <v>0</v>
      </c>
      <c r="Y26">
        <f t="shared" si="7"/>
        <v>0</v>
      </c>
      <c r="AC26" s="36" t="s">
        <v>713</v>
      </c>
      <c r="AD26" s="26" t="s">
        <v>152</v>
      </c>
      <c r="AE26">
        <v>1</v>
      </c>
      <c r="AF26">
        <f t="shared" si="0"/>
        <v>0.36101083032490977</v>
      </c>
      <c r="AH26">
        <v>0</v>
      </c>
      <c r="AI26">
        <f t="shared" si="8"/>
        <v>0</v>
      </c>
      <c r="AK26">
        <v>0</v>
      </c>
      <c r="AL26">
        <f t="shared" si="9"/>
        <v>0</v>
      </c>
      <c r="AN26">
        <v>0</v>
      </c>
      <c r="AO26">
        <f t="shared" si="10"/>
        <v>0</v>
      </c>
      <c r="AS26" s="36" t="s">
        <v>713</v>
      </c>
      <c r="AT26" s="27" t="s">
        <v>649</v>
      </c>
      <c r="AU26" s="9">
        <v>2</v>
      </c>
      <c r="AV26">
        <f t="shared" si="11"/>
        <v>7.3340667400073334E-2</v>
      </c>
      <c r="AY26" s="36" t="s">
        <v>713</v>
      </c>
      <c r="AZ26" s="1" t="s">
        <v>239</v>
      </c>
      <c r="BA26">
        <v>0</v>
      </c>
      <c r="BB26">
        <f t="shared" si="12"/>
        <v>0</v>
      </c>
      <c r="BD26">
        <v>5</v>
      </c>
      <c r="BE26">
        <f t="shared" si="13"/>
        <v>0.32573289902280134</v>
      </c>
      <c r="BG26">
        <v>3</v>
      </c>
      <c r="BH26">
        <f t="shared" si="14"/>
        <v>0.68181818181818177</v>
      </c>
      <c r="BJ26">
        <v>0</v>
      </c>
      <c r="BK26">
        <f t="shared" si="15"/>
        <v>0</v>
      </c>
      <c r="BO26" s="36" t="s">
        <v>713</v>
      </c>
      <c r="BP26" t="s">
        <v>234</v>
      </c>
      <c r="BQ26">
        <v>5</v>
      </c>
      <c r="BR26">
        <f t="shared" si="1"/>
        <v>0.14556040756914121</v>
      </c>
      <c r="BT26">
        <v>12</v>
      </c>
      <c r="BU26">
        <f t="shared" si="16"/>
        <v>3.8834951456310676</v>
      </c>
      <c r="BW26">
        <v>3</v>
      </c>
      <c r="BX26">
        <f t="shared" si="17"/>
        <v>0.18621973929236499</v>
      </c>
      <c r="BZ26">
        <v>10</v>
      </c>
      <c r="CA26">
        <f t="shared" si="18"/>
        <v>4.5045045045045047</v>
      </c>
      <c r="CE26" s="36" t="s">
        <v>713</v>
      </c>
      <c r="CF26" t="s">
        <v>235</v>
      </c>
      <c r="CG26">
        <v>3</v>
      </c>
      <c r="CH26">
        <f t="shared" si="19"/>
        <v>1.3100436681222707</v>
      </c>
      <c r="CJ26">
        <v>3</v>
      </c>
      <c r="CK26">
        <f t="shared" si="20"/>
        <v>0.67114093959731547</v>
      </c>
      <c r="CM26">
        <v>8</v>
      </c>
      <c r="CN26">
        <f t="shared" si="21"/>
        <v>0.29928918817807704</v>
      </c>
      <c r="CP26">
        <v>9</v>
      </c>
      <c r="CQ26">
        <f t="shared" si="22"/>
        <v>0.3436426116838488</v>
      </c>
      <c r="CU26" s="36" t="s">
        <v>715</v>
      </c>
      <c r="CV26" t="s">
        <v>95</v>
      </c>
      <c r="CW26">
        <v>520</v>
      </c>
      <c r="CX26">
        <f t="shared" si="23"/>
        <v>66.666666666666657</v>
      </c>
      <c r="DB26" s="36" t="s">
        <v>713</v>
      </c>
      <c r="DC26" t="s">
        <v>332</v>
      </c>
      <c r="DD26">
        <v>0</v>
      </c>
      <c r="DE26">
        <f t="shared" si="24"/>
        <v>0</v>
      </c>
      <c r="DG26">
        <v>2</v>
      </c>
      <c r="DH26">
        <f t="shared" si="25"/>
        <v>1.4388489208633095</v>
      </c>
      <c r="DJ26">
        <v>5</v>
      </c>
      <c r="DK26">
        <f t="shared" si="26"/>
        <v>1.2690355329949239</v>
      </c>
      <c r="DM26">
        <v>1</v>
      </c>
      <c r="DN26">
        <f t="shared" si="27"/>
        <v>0.50251256281407031</v>
      </c>
      <c r="DR26" t="s">
        <v>576</v>
      </c>
      <c r="DS26" t="s">
        <v>257</v>
      </c>
      <c r="DT26">
        <v>0</v>
      </c>
      <c r="DU26">
        <f t="shared" si="28"/>
        <v>0</v>
      </c>
      <c r="DW26">
        <v>1</v>
      </c>
      <c r="DX26">
        <f t="shared" si="29"/>
        <v>0.37878787878787878</v>
      </c>
      <c r="DZ26">
        <v>0</v>
      </c>
      <c r="EA26">
        <f t="shared" si="30"/>
        <v>0</v>
      </c>
      <c r="EF26" s="28" t="s">
        <v>713</v>
      </c>
      <c r="EG26" s="28" t="s">
        <v>200</v>
      </c>
      <c r="EH26" s="28">
        <v>3</v>
      </c>
      <c r="EI26" s="28">
        <f>EH26/197*100</f>
        <v>1.5228426395939088</v>
      </c>
      <c r="EJ26" s="28"/>
      <c r="EK26" s="28">
        <v>0</v>
      </c>
      <c r="EL26" s="28">
        <f>EK26/145*100</f>
        <v>0</v>
      </c>
      <c r="EM26" s="28"/>
      <c r="EN26" s="28">
        <v>0</v>
      </c>
      <c r="EO26" s="28">
        <f t="shared" si="31"/>
        <v>0</v>
      </c>
      <c r="EP26" s="28"/>
      <c r="EQ26" s="28">
        <v>1</v>
      </c>
      <c r="ER26">
        <f t="shared" si="32"/>
        <v>1</v>
      </c>
    </row>
    <row r="27" spans="1:148" x14ac:dyDescent="0.25">
      <c r="A27" t="s">
        <v>574</v>
      </c>
      <c r="B27" t="s">
        <v>117</v>
      </c>
      <c r="C27">
        <v>46</v>
      </c>
      <c r="D27">
        <f t="shared" si="2"/>
        <v>6.3273727647867952</v>
      </c>
      <c r="G27" s="36" t="s">
        <v>713</v>
      </c>
      <c r="H27" t="s">
        <v>87</v>
      </c>
      <c r="I27">
        <v>14</v>
      </c>
      <c r="J27">
        <f t="shared" si="3"/>
        <v>1.4814814814814816</v>
      </c>
      <c r="M27" s="9" t="s">
        <v>713</v>
      </c>
      <c r="N27" s="9" t="s">
        <v>208</v>
      </c>
      <c r="O27" s="9">
        <v>1</v>
      </c>
      <c r="P27" s="9">
        <f t="shared" si="4"/>
        <v>0.21598272138228944</v>
      </c>
      <c r="Q27" s="9"/>
      <c r="R27" s="9">
        <v>0</v>
      </c>
      <c r="S27" s="9">
        <f t="shared" si="5"/>
        <v>0</v>
      </c>
      <c r="T27" s="9"/>
      <c r="U27" s="9">
        <v>0</v>
      </c>
      <c r="V27" s="9">
        <f t="shared" si="6"/>
        <v>0</v>
      </c>
      <c r="W27" s="9"/>
      <c r="X27" s="9">
        <v>0</v>
      </c>
      <c r="Y27">
        <f t="shared" si="7"/>
        <v>0</v>
      </c>
      <c r="AC27" s="36" t="s">
        <v>713</v>
      </c>
      <c r="AD27" s="26" t="s">
        <v>155</v>
      </c>
      <c r="AE27">
        <v>2</v>
      </c>
      <c r="AF27">
        <f t="shared" si="0"/>
        <v>0.72202166064981954</v>
      </c>
      <c r="AH27">
        <v>0</v>
      </c>
      <c r="AI27">
        <f t="shared" si="8"/>
        <v>0</v>
      </c>
      <c r="AK27">
        <v>0</v>
      </c>
      <c r="AL27">
        <f t="shared" si="9"/>
        <v>0</v>
      </c>
      <c r="AN27">
        <v>0</v>
      </c>
      <c r="AO27">
        <f t="shared" si="10"/>
        <v>0</v>
      </c>
      <c r="AS27" s="36" t="s">
        <v>713</v>
      </c>
      <c r="AT27" s="26" t="s">
        <v>91</v>
      </c>
      <c r="AU27" s="9">
        <v>4</v>
      </c>
      <c r="AV27">
        <f t="shared" si="11"/>
        <v>0.14668133480014667</v>
      </c>
      <c r="AY27" s="36" t="s">
        <v>713</v>
      </c>
      <c r="AZ27" t="s">
        <v>238</v>
      </c>
      <c r="BA27">
        <v>0</v>
      </c>
      <c r="BB27">
        <f t="shared" si="12"/>
        <v>0</v>
      </c>
      <c r="BD27">
        <v>1</v>
      </c>
      <c r="BE27">
        <f t="shared" si="13"/>
        <v>6.5146579804560262E-2</v>
      </c>
      <c r="BG27">
        <v>1</v>
      </c>
      <c r="BH27">
        <f t="shared" si="14"/>
        <v>0.22727272727272727</v>
      </c>
      <c r="BJ27">
        <v>1</v>
      </c>
      <c r="BK27">
        <f t="shared" si="15"/>
        <v>0.3401360544217687</v>
      </c>
      <c r="BO27" s="36" t="s">
        <v>713</v>
      </c>
      <c r="BP27" t="s">
        <v>200</v>
      </c>
      <c r="BQ27">
        <v>0</v>
      </c>
      <c r="BR27">
        <f t="shared" si="1"/>
        <v>0</v>
      </c>
      <c r="BT27">
        <v>2</v>
      </c>
      <c r="BU27">
        <f t="shared" si="16"/>
        <v>0.64724919093851141</v>
      </c>
      <c r="BW27">
        <v>1</v>
      </c>
      <c r="BX27">
        <f t="shared" si="17"/>
        <v>6.2073246430788327E-2</v>
      </c>
      <c r="BZ27">
        <v>0</v>
      </c>
      <c r="CA27">
        <f t="shared" si="18"/>
        <v>0</v>
      </c>
      <c r="CE27" s="36" t="s">
        <v>713</v>
      </c>
      <c r="CF27" t="s">
        <v>234</v>
      </c>
      <c r="CG27">
        <v>0</v>
      </c>
      <c r="CH27">
        <f t="shared" si="19"/>
        <v>0</v>
      </c>
      <c r="CJ27">
        <v>0</v>
      </c>
      <c r="CK27">
        <f t="shared" si="20"/>
        <v>0</v>
      </c>
      <c r="CM27">
        <v>2</v>
      </c>
      <c r="CN27">
        <f t="shared" si="21"/>
        <v>7.4822297044519259E-2</v>
      </c>
      <c r="CP27">
        <v>0</v>
      </c>
      <c r="CQ27">
        <f t="shared" si="22"/>
        <v>0</v>
      </c>
      <c r="CU27" s="36" t="s">
        <v>715</v>
      </c>
      <c r="CV27" t="s">
        <v>558</v>
      </c>
      <c r="CW27">
        <v>15</v>
      </c>
      <c r="CX27">
        <f t="shared" si="23"/>
        <v>1.9230769230769231</v>
      </c>
      <c r="DB27" s="36" t="s">
        <v>713</v>
      </c>
      <c r="DC27" t="s">
        <v>288</v>
      </c>
      <c r="DD27">
        <v>2</v>
      </c>
      <c r="DE27">
        <f t="shared" si="24"/>
        <v>1.680672268907563</v>
      </c>
      <c r="DG27">
        <v>0</v>
      </c>
      <c r="DH27">
        <f t="shared" si="25"/>
        <v>0</v>
      </c>
      <c r="DJ27">
        <v>0</v>
      </c>
      <c r="DK27">
        <f t="shared" si="26"/>
        <v>0</v>
      </c>
      <c r="DM27">
        <v>1</v>
      </c>
      <c r="DN27">
        <f t="shared" si="27"/>
        <v>0.50251256281407031</v>
      </c>
      <c r="DR27" t="s">
        <v>715</v>
      </c>
      <c r="DS27" t="s">
        <v>350</v>
      </c>
      <c r="DT27">
        <v>1</v>
      </c>
      <c r="DU27">
        <f t="shared" si="28"/>
        <v>0.5988023952095809</v>
      </c>
      <c r="DW27">
        <v>8</v>
      </c>
      <c r="DX27">
        <f t="shared" si="29"/>
        <v>3.0303030303030303</v>
      </c>
      <c r="DZ27">
        <v>3</v>
      </c>
      <c r="EA27">
        <f t="shared" si="30"/>
        <v>0.97402597402597402</v>
      </c>
      <c r="EF27" s="28" t="s">
        <v>713</v>
      </c>
      <c r="EG27" s="28" t="s">
        <v>393</v>
      </c>
      <c r="EH27" s="28">
        <v>3</v>
      </c>
      <c r="EI27" s="28">
        <f>EH27/197*100</f>
        <v>1.5228426395939088</v>
      </c>
      <c r="EJ27" s="28"/>
      <c r="EK27" s="28">
        <v>0</v>
      </c>
      <c r="EL27" s="28">
        <f>EK27/145*100</f>
        <v>0</v>
      </c>
      <c r="EM27" s="28"/>
      <c r="EN27" s="28">
        <v>0</v>
      </c>
      <c r="EO27" s="28">
        <f t="shared" si="31"/>
        <v>0</v>
      </c>
      <c r="EP27" s="28"/>
      <c r="EQ27" s="28">
        <v>0</v>
      </c>
      <c r="ER27">
        <f t="shared" si="32"/>
        <v>0</v>
      </c>
    </row>
    <row r="28" spans="1:148" x14ac:dyDescent="0.25">
      <c r="A28" t="s">
        <v>568</v>
      </c>
      <c r="B28" s="1" t="s">
        <v>129</v>
      </c>
      <c r="C28">
        <v>1</v>
      </c>
      <c r="D28">
        <f t="shared" si="2"/>
        <v>0.13755158184319119</v>
      </c>
      <c r="G28" s="36" t="s">
        <v>713</v>
      </c>
      <c r="H28" s="1" t="s">
        <v>62</v>
      </c>
      <c r="I28">
        <v>15</v>
      </c>
      <c r="J28">
        <f t="shared" si="3"/>
        <v>1.5873015873015872</v>
      </c>
      <c r="M28" s="9" t="s">
        <v>713</v>
      </c>
      <c r="N28" s="27" t="s">
        <v>211</v>
      </c>
      <c r="O28" s="27">
        <v>1</v>
      </c>
      <c r="P28" s="9">
        <f t="shared" si="4"/>
        <v>0.21598272138228944</v>
      </c>
      <c r="Q28" s="27"/>
      <c r="R28" s="9">
        <v>0</v>
      </c>
      <c r="S28" s="9">
        <f t="shared" si="5"/>
        <v>0</v>
      </c>
      <c r="T28" s="9"/>
      <c r="U28" s="9">
        <v>17</v>
      </c>
      <c r="V28" s="9">
        <f t="shared" si="6"/>
        <v>6.1151079136690649</v>
      </c>
      <c r="W28" s="9"/>
      <c r="X28" s="9">
        <v>0</v>
      </c>
      <c r="Y28">
        <f t="shared" si="7"/>
        <v>0</v>
      </c>
      <c r="AC28" s="36" t="s">
        <v>713</v>
      </c>
      <c r="AD28" s="26" t="s">
        <v>28</v>
      </c>
      <c r="AE28">
        <v>3</v>
      </c>
      <c r="AF28">
        <f t="shared" si="0"/>
        <v>1.0830324909747291</v>
      </c>
      <c r="AH28">
        <v>0</v>
      </c>
      <c r="AI28">
        <f t="shared" si="8"/>
        <v>0</v>
      </c>
      <c r="AK28">
        <v>0</v>
      </c>
      <c r="AL28">
        <f t="shared" si="9"/>
        <v>0</v>
      </c>
      <c r="AN28">
        <v>0</v>
      </c>
      <c r="AO28">
        <f t="shared" si="10"/>
        <v>0</v>
      </c>
      <c r="AS28" s="36" t="s">
        <v>713</v>
      </c>
      <c r="AT28" s="27" t="s">
        <v>650</v>
      </c>
      <c r="AU28" s="9">
        <v>7</v>
      </c>
      <c r="AV28">
        <f t="shared" si="11"/>
        <v>0.2566923359002567</v>
      </c>
      <c r="AY28" s="36" t="s">
        <v>713</v>
      </c>
      <c r="AZ28" t="s">
        <v>235</v>
      </c>
      <c r="BA28">
        <v>0</v>
      </c>
      <c r="BB28">
        <f t="shared" si="12"/>
        <v>0</v>
      </c>
      <c r="BD28">
        <v>1</v>
      </c>
      <c r="BE28">
        <f t="shared" si="13"/>
        <v>6.5146579804560262E-2</v>
      </c>
      <c r="BG28">
        <v>0</v>
      </c>
      <c r="BH28">
        <f t="shared" si="14"/>
        <v>0</v>
      </c>
      <c r="BJ28">
        <v>0</v>
      </c>
      <c r="BK28">
        <f t="shared" si="15"/>
        <v>0</v>
      </c>
      <c r="BO28" s="36" t="s">
        <v>713</v>
      </c>
      <c r="BP28" t="s">
        <v>246</v>
      </c>
      <c r="BQ28">
        <v>0</v>
      </c>
      <c r="BR28">
        <f t="shared" si="1"/>
        <v>0</v>
      </c>
      <c r="BT28">
        <v>0</v>
      </c>
      <c r="BU28">
        <f t="shared" si="16"/>
        <v>0</v>
      </c>
      <c r="BW28">
        <v>5</v>
      </c>
      <c r="BX28">
        <f t="shared" si="17"/>
        <v>0.31036623215394166</v>
      </c>
      <c r="BZ28">
        <v>0</v>
      </c>
      <c r="CA28">
        <f t="shared" si="18"/>
        <v>0</v>
      </c>
      <c r="CE28" s="36" t="s">
        <v>713</v>
      </c>
      <c r="CF28" t="s">
        <v>200</v>
      </c>
      <c r="CG28">
        <v>0</v>
      </c>
      <c r="CH28">
        <f t="shared" si="19"/>
        <v>0</v>
      </c>
      <c r="CJ28">
        <v>3</v>
      </c>
      <c r="CK28">
        <f t="shared" si="20"/>
        <v>0.67114093959731547</v>
      </c>
      <c r="CM28">
        <v>0</v>
      </c>
      <c r="CN28">
        <f t="shared" si="21"/>
        <v>0</v>
      </c>
      <c r="CP28">
        <v>0</v>
      </c>
      <c r="CQ28">
        <f t="shared" si="22"/>
        <v>0</v>
      </c>
      <c r="CU28" s="36" t="s">
        <v>715</v>
      </c>
      <c r="CV28" t="s">
        <v>356</v>
      </c>
      <c r="CW28">
        <v>3</v>
      </c>
      <c r="CX28">
        <f t="shared" si="23"/>
        <v>0.38461538461538464</v>
      </c>
      <c r="DB28" s="36" t="s">
        <v>713</v>
      </c>
      <c r="DC28" t="s">
        <v>289</v>
      </c>
      <c r="DD28">
        <v>0</v>
      </c>
      <c r="DE28">
        <f t="shared" si="24"/>
        <v>0</v>
      </c>
      <c r="DG28">
        <v>0</v>
      </c>
      <c r="DH28">
        <f t="shared" si="25"/>
        <v>0</v>
      </c>
      <c r="DJ28">
        <v>7</v>
      </c>
      <c r="DK28">
        <f t="shared" si="26"/>
        <v>1.7766497461928936</v>
      </c>
      <c r="DM28">
        <v>0</v>
      </c>
      <c r="DN28">
        <f t="shared" si="27"/>
        <v>0</v>
      </c>
      <c r="DR28" s="36" t="s">
        <v>715</v>
      </c>
      <c r="DS28" t="s">
        <v>95</v>
      </c>
      <c r="DT28">
        <v>5</v>
      </c>
      <c r="DU28">
        <f t="shared" si="28"/>
        <v>2.9940119760479043</v>
      </c>
      <c r="DW28">
        <v>30</v>
      </c>
      <c r="DX28">
        <f t="shared" si="29"/>
        <v>11.363636363636363</v>
      </c>
      <c r="DZ28">
        <v>44</v>
      </c>
      <c r="EA28">
        <f t="shared" si="30"/>
        <v>14.285714285714285</v>
      </c>
      <c r="EF28" s="28" t="s">
        <v>713</v>
      </c>
      <c r="EG28" s="28" t="s">
        <v>369</v>
      </c>
      <c r="EH28" s="28">
        <v>1</v>
      </c>
      <c r="EI28" s="28">
        <f>EH28/197*100</f>
        <v>0.50761421319796951</v>
      </c>
      <c r="EJ28" s="28"/>
      <c r="EK28" s="28">
        <v>1</v>
      </c>
      <c r="EL28" s="28">
        <f>EK28/145*100</f>
        <v>0.68965517241379315</v>
      </c>
      <c r="EM28" s="28"/>
      <c r="EN28" s="28">
        <v>0</v>
      </c>
      <c r="EO28" s="28">
        <f t="shared" si="31"/>
        <v>0</v>
      </c>
      <c r="EP28" s="28"/>
      <c r="EQ28" s="28">
        <v>0</v>
      </c>
      <c r="ER28">
        <f t="shared" si="32"/>
        <v>0</v>
      </c>
    </row>
    <row r="29" spans="1:148" x14ac:dyDescent="0.25">
      <c r="C29">
        <f>SUM(C3:C28)</f>
        <v>727</v>
      </c>
      <c r="G29" s="36" t="s">
        <v>713</v>
      </c>
      <c r="H29" s="1" t="s">
        <v>64</v>
      </c>
      <c r="I29">
        <v>1</v>
      </c>
      <c r="J29">
        <f t="shared" si="3"/>
        <v>0.10582010582010583</v>
      </c>
      <c r="M29" s="9" t="s">
        <v>713</v>
      </c>
      <c r="N29" s="9" t="s">
        <v>215</v>
      </c>
      <c r="O29" s="9">
        <v>3</v>
      </c>
      <c r="P29" s="9">
        <f t="shared" si="4"/>
        <v>0.64794816414686829</v>
      </c>
      <c r="Q29" s="9"/>
      <c r="R29" s="9">
        <v>0</v>
      </c>
      <c r="S29" s="9">
        <f t="shared" si="5"/>
        <v>0</v>
      </c>
      <c r="T29" s="9"/>
      <c r="U29" s="9">
        <v>0</v>
      </c>
      <c r="V29" s="9">
        <f t="shared" si="6"/>
        <v>0</v>
      </c>
      <c r="W29" s="9"/>
      <c r="X29" s="9">
        <v>0</v>
      </c>
      <c r="Y29">
        <f t="shared" si="7"/>
        <v>0</v>
      </c>
      <c r="AC29" s="36" t="s">
        <v>713</v>
      </c>
      <c r="AD29" s="26" t="s">
        <v>59</v>
      </c>
      <c r="AE29">
        <v>1</v>
      </c>
      <c r="AF29">
        <f t="shared" si="0"/>
        <v>0.36101083032490977</v>
      </c>
      <c r="AH29">
        <v>0</v>
      </c>
      <c r="AI29">
        <f t="shared" si="8"/>
        <v>0</v>
      </c>
      <c r="AK29">
        <v>0</v>
      </c>
      <c r="AL29">
        <f t="shared" si="9"/>
        <v>0</v>
      </c>
      <c r="AN29">
        <v>0</v>
      </c>
      <c r="AO29">
        <f t="shared" si="10"/>
        <v>0</v>
      </c>
      <c r="AS29" s="36" t="s">
        <v>713</v>
      </c>
      <c r="AT29" s="26" t="s">
        <v>92</v>
      </c>
      <c r="AU29" s="9">
        <v>1</v>
      </c>
      <c r="AV29">
        <f t="shared" si="11"/>
        <v>3.6670333700036667E-2</v>
      </c>
      <c r="AY29" s="36" t="s">
        <v>713</v>
      </c>
      <c r="AZ29" t="s">
        <v>234</v>
      </c>
      <c r="BA29">
        <v>0</v>
      </c>
      <c r="BB29">
        <f t="shared" si="12"/>
        <v>0</v>
      </c>
      <c r="BD29">
        <v>3</v>
      </c>
      <c r="BE29">
        <f t="shared" si="13"/>
        <v>0.19543973941368079</v>
      </c>
      <c r="BG29">
        <v>0</v>
      </c>
      <c r="BH29">
        <f t="shared" si="14"/>
        <v>0</v>
      </c>
      <c r="BJ29">
        <v>0</v>
      </c>
      <c r="BK29">
        <f t="shared" si="15"/>
        <v>0</v>
      </c>
      <c r="BO29" s="36" t="s">
        <v>713</v>
      </c>
      <c r="BP29" t="s">
        <v>260</v>
      </c>
      <c r="BQ29">
        <v>3</v>
      </c>
      <c r="BR29">
        <f t="shared" si="1"/>
        <v>8.7336244541484712E-2</v>
      </c>
      <c r="BT29">
        <v>1</v>
      </c>
      <c r="BU29">
        <f t="shared" si="16"/>
        <v>0.3236245954692557</v>
      </c>
      <c r="BW29">
        <v>4</v>
      </c>
      <c r="BX29">
        <f t="shared" si="17"/>
        <v>0.24829298572315331</v>
      </c>
      <c r="BZ29">
        <v>0</v>
      </c>
      <c r="CA29">
        <f t="shared" si="18"/>
        <v>0</v>
      </c>
      <c r="CE29" s="36" t="s">
        <v>713</v>
      </c>
      <c r="CF29" t="s">
        <v>246</v>
      </c>
      <c r="CG29">
        <v>0</v>
      </c>
      <c r="CH29">
        <f t="shared" si="19"/>
        <v>0</v>
      </c>
      <c r="CJ29">
        <v>0</v>
      </c>
      <c r="CK29">
        <f t="shared" si="20"/>
        <v>0</v>
      </c>
      <c r="CM29">
        <v>0</v>
      </c>
      <c r="CN29">
        <f t="shared" si="21"/>
        <v>0</v>
      </c>
      <c r="CP29">
        <v>5</v>
      </c>
      <c r="CQ29">
        <f t="shared" si="22"/>
        <v>0.19091256204658266</v>
      </c>
      <c r="CU29" s="36" t="s">
        <v>715</v>
      </c>
      <c r="CV29" t="s">
        <v>361</v>
      </c>
      <c r="CW29">
        <v>2</v>
      </c>
      <c r="CX29">
        <f t="shared" si="23"/>
        <v>0.25641025641025639</v>
      </c>
      <c r="DB29" s="36" t="s">
        <v>713</v>
      </c>
      <c r="DC29" t="s">
        <v>290</v>
      </c>
      <c r="DD29">
        <v>3</v>
      </c>
      <c r="DE29">
        <f t="shared" si="24"/>
        <v>2.5210084033613445</v>
      </c>
      <c r="DG29">
        <v>2</v>
      </c>
      <c r="DH29">
        <f t="shared" si="25"/>
        <v>1.4388489208633095</v>
      </c>
      <c r="DJ29">
        <v>0</v>
      </c>
      <c r="DK29">
        <f t="shared" si="26"/>
        <v>0</v>
      </c>
      <c r="DM29">
        <v>0</v>
      </c>
      <c r="DN29">
        <f t="shared" si="27"/>
        <v>0</v>
      </c>
      <c r="DR29" s="36" t="s">
        <v>715</v>
      </c>
      <c r="DS29" t="s">
        <v>356</v>
      </c>
      <c r="DT29">
        <v>15</v>
      </c>
      <c r="DU29">
        <f t="shared" si="28"/>
        <v>8.9820359281437128</v>
      </c>
      <c r="DW29">
        <v>8</v>
      </c>
      <c r="DX29">
        <f t="shared" si="29"/>
        <v>3.0303030303030303</v>
      </c>
      <c r="DZ29">
        <v>10</v>
      </c>
      <c r="EA29">
        <f t="shared" si="30"/>
        <v>3.2467532467532463</v>
      </c>
      <c r="EF29" s="28" t="s">
        <v>713</v>
      </c>
      <c r="EG29" s="28" t="s">
        <v>44</v>
      </c>
      <c r="EH29" s="28">
        <v>0</v>
      </c>
      <c r="EI29" s="28">
        <f>EH29/197*100</f>
        <v>0</v>
      </c>
      <c r="EJ29" s="28"/>
      <c r="EK29" s="28">
        <v>1</v>
      </c>
      <c r="EL29" s="28">
        <f>EK29/145*100</f>
        <v>0.68965517241379315</v>
      </c>
      <c r="EM29" s="28"/>
      <c r="EN29" s="28">
        <v>0</v>
      </c>
      <c r="EO29" s="28">
        <f t="shared" si="31"/>
        <v>0</v>
      </c>
      <c r="EP29" s="28"/>
      <c r="EQ29" s="28">
        <v>2</v>
      </c>
      <c r="ER29">
        <f t="shared" si="32"/>
        <v>2</v>
      </c>
    </row>
    <row r="30" spans="1:148" x14ac:dyDescent="0.25">
      <c r="G30" s="36" t="s">
        <v>713</v>
      </c>
      <c r="H30" s="1" t="s">
        <v>65</v>
      </c>
      <c r="I30">
        <v>17</v>
      </c>
      <c r="J30">
        <f t="shared" si="3"/>
        <v>1.7989417989417988</v>
      </c>
      <c r="M30" s="9" t="s">
        <v>713</v>
      </c>
      <c r="N30" s="26" t="s">
        <v>217</v>
      </c>
      <c r="O30" s="9">
        <v>3</v>
      </c>
      <c r="P30" s="9">
        <f t="shared" si="4"/>
        <v>0.64794816414686829</v>
      </c>
      <c r="Q30" s="9"/>
      <c r="R30" s="9">
        <v>0</v>
      </c>
      <c r="S30" s="9">
        <f t="shared" si="5"/>
        <v>0</v>
      </c>
      <c r="T30" s="9"/>
      <c r="U30" s="9">
        <v>0</v>
      </c>
      <c r="V30" s="9">
        <f t="shared" si="6"/>
        <v>0</v>
      </c>
      <c r="W30" s="9"/>
      <c r="X30" s="9">
        <v>0</v>
      </c>
      <c r="Y30">
        <f t="shared" si="7"/>
        <v>0</v>
      </c>
      <c r="AC30" s="36" t="s">
        <v>713</v>
      </c>
      <c r="AD30" s="26" t="s">
        <v>157</v>
      </c>
      <c r="AE30">
        <v>1</v>
      </c>
      <c r="AF30">
        <f t="shared" si="0"/>
        <v>0.36101083032490977</v>
      </c>
      <c r="AH30">
        <v>0</v>
      </c>
      <c r="AI30">
        <f t="shared" si="8"/>
        <v>0</v>
      </c>
      <c r="AK30">
        <v>0</v>
      </c>
      <c r="AL30">
        <f t="shared" si="9"/>
        <v>0</v>
      </c>
      <c r="AN30">
        <v>0</v>
      </c>
      <c r="AO30">
        <f t="shared" si="10"/>
        <v>0</v>
      </c>
      <c r="AS30" s="36" t="s">
        <v>713</v>
      </c>
      <c r="AT30" s="26" t="s">
        <v>93</v>
      </c>
      <c r="AU30" s="9">
        <v>4</v>
      </c>
      <c r="AV30">
        <f t="shared" si="11"/>
        <v>0.14668133480014667</v>
      </c>
      <c r="AY30" s="36" t="s">
        <v>713</v>
      </c>
      <c r="AZ30" t="s">
        <v>232</v>
      </c>
      <c r="BA30">
        <v>0</v>
      </c>
      <c r="BB30">
        <f t="shared" si="12"/>
        <v>0</v>
      </c>
      <c r="BD30">
        <v>1</v>
      </c>
      <c r="BE30">
        <f t="shared" si="13"/>
        <v>6.5146579804560262E-2</v>
      </c>
      <c r="BG30">
        <v>0</v>
      </c>
      <c r="BH30">
        <f t="shared" si="14"/>
        <v>0</v>
      </c>
      <c r="BJ30">
        <v>0</v>
      </c>
      <c r="BK30">
        <f t="shared" si="15"/>
        <v>0</v>
      </c>
      <c r="BO30" s="36" t="s">
        <v>713</v>
      </c>
      <c r="BP30" s="1" t="s">
        <v>59</v>
      </c>
      <c r="BQ30">
        <v>2</v>
      </c>
      <c r="BR30">
        <f t="shared" si="1"/>
        <v>5.8224163027656484E-2</v>
      </c>
      <c r="BT30">
        <v>0</v>
      </c>
      <c r="BU30">
        <f t="shared" si="16"/>
        <v>0</v>
      </c>
      <c r="BW30">
        <v>1</v>
      </c>
      <c r="BX30">
        <f t="shared" si="17"/>
        <v>6.2073246430788327E-2</v>
      </c>
      <c r="BZ30">
        <v>2</v>
      </c>
      <c r="CA30">
        <f t="shared" si="18"/>
        <v>0.90090090090090091</v>
      </c>
      <c r="CE30" s="36" t="s">
        <v>713</v>
      </c>
      <c r="CF30" t="s">
        <v>260</v>
      </c>
      <c r="CG30">
        <v>4</v>
      </c>
      <c r="CH30">
        <f t="shared" si="19"/>
        <v>1.7467248908296942</v>
      </c>
      <c r="CJ30">
        <v>15</v>
      </c>
      <c r="CK30">
        <f t="shared" si="20"/>
        <v>3.3557046979865772</v>
      </c>
      <c r="CM30">
        <v>2</v>
      </c>
      <c r="CN30">
        <f t="shared" si="21"/>
        <v>7.4822297044519259E-2</v>
      </c>
      <c r="CP30">
        <v>10</v>
      </c>
      <c r="CQ30">
        <f t="shared" si="22"/>
        <v>0.38182512409316532</v>
      </c>
      <c r="CU30" s="36" t="s">
        <v>715</v>
      </c>
      <c r="CV30" t="s">
        <v>363</v>
      </c>
      <c r="CW30">
        <v>1</v>
      </c>
      <c r="CX30">
        <f t="shared" si="23"/>
        <v>0.12820512820512819</v>
      </c>
      <c r="DB30" s="36" t="s">
        <v>713</v>
      </c>
      <c r="DC30" t="s">
        <v>170</v>
      </c>
      <c r="DD30">
        <v>0</v>
      </c>
      <c r="DE30">
        <f t="shared" si="24"/>
        <v>0</v>
      </c>
      <c r="DG30">
        <v>0</v>
      </c>
      <c r="DH30">
        <f t="shared" si="25"/>
        <v>0</v>
      </c>
      <c r="DJ30">
        <v>5</v>
      </c>
      <c r="DK30">
        <f t="shared" si="26"/>
        <v>1.2690355329949239</v>
      </c>
      <c r="DM30">
        <v>6</v>
      </c>
      <c r="DN30">
        <f t="shared" si="27"/>
        <v>3.0150753768844218</v>
      </c>
      <c r="DR30" s="36" t="s">
        <v>715</v>
      </c>
      <c r="DS30" t="s">
        <v>361</v>
      </c>
      <c r="DT30">
        <v>0</v>
      </c>
      <c r="DU30">
        <f t="shared" si="28"/>
        <v>0</v>
      </c>
      <c r="DW30">
        <v>12</v>
      </c>
      <c r="DX30">
        <f t="shared" si="29"/>
        <v>4.5454545454545459</v>
      </c>
      <c r="DZ30">
        <v>4</v>
      </c>
      <c r="EA30">
        <f t="shared" si="30"/>
        <v>1.2987012987012987</v>
      </c>
      <c r="EF30" s="28" t="s">
        <v>713</v>
      </c>
      <c r="EG30" s="28" t="s">
        <v>395</v>
      </c>
      <c r="EH30" s="28">
        <v>0</v>
      </c>
      <c r="EI30" s="28">
        <f>EH30/197*100</f>
        <v>0</v>
      </c>
      <c r="EJ30" s="28"/>
      <c r="EK30" s="28">
        <v>1</v>
      </c>
      <c r="EL30" s="28">
        <f>EK30/145*100</f>
        <v>0.68965517241379315</v>
      </c>
      <c r="EM30" s="28"/>
      <c r="EN30" s="28">
        <v>0</v>
      </c>
      <c r="EO30" s="28">
        <f t="shared" si="31"/>
        <v>0</v>
      </c>
      <c r="EP30" s="28"/>
      <c r="EQ30" s="28">
        <v>0</v>
      </c>
      <c r="ER30">
        <f t="shared" si="32"/>
        <v>0</v>
      </c>
    </row>
    <row r="31" spans="1:148" x14ac:dyDescent="0.25">
      <c r="G31" s="36" t="s">
        <v>713</v>
      </c>
      <c r="H31" s="1" t="s">
        <v>66</v>
      </c>
      <c r="I31">
        <v>8</v>
      </c>
      <c r="J31">
        <f t="shared" si="3"/>
        <v>0.84656084656084662</v>
      </c>
      <c r="M31" s="9" t="s">
        <v>713</v>
      </c>
      <c r="N31" s="9" t="s">
        <v>219</v>
      </c>
      <c r="O31" s="9">
        <v>1</v>
      </c>
      <c r="P31" s="9">
        <f t="shared" si="4"/>
        <v>0.21598272138228944</v>
      </c>
      <c r="Q31" s="9"/>
      <c r="R31" s="9">
        <v>0</v>
      </c>
      <c r="S31" s="9">
        <f t="shared" si="5"/>
        <v>0</v>
      </c>
      <c r="T31" s="9"/>
      <c r="U31" s="9">
        <v>0</v>
      </c>
      <c r="V31" s="9">
        <f t="shared" si="6"/>
        <v>0</v>
      </c>
      <c r="W31" s="9"/>
      <c r="X31" s="9">
        <v>0</v>
      </c>
      <c r="Y31">
        <f t="shared" si="7"/>
        <v>0</v>
      </c>
      <c r="AC31" s="36" t="s">
        <v>713</v>
      </c>
      <c r="AD31" s="26" t="s">
        <v>158</v>
      </c>
      <c r="AE31">
        <v>2</v>
      </c>
      <c r="AF31">
        <f t="shared" si="0"/>
        <v>0.72202166064981954</v>
      </c>
      <c r="AH31">
        <v>0</v>
      </c>
      <c r="AI31">
        <f t="shared" si="8"/>
        <v>0</v>
      </c>
      <c r="AK31">
        <v>0</v>
      </c>
      <c r="AL31">
        <f t="shared" si="9"/>
        <v>0</v>
      </c>
      <c r="AN31">
        <v>0</v>
      </c>
      <c r="AO31">
        <f t="shared" si="10"/>
        <v>0</v>
      </c>
      <c r="AS31" s="36" t="s">
        <v>713</v>
      </c>
      <c r="AT31" s="27" t="s">
        <v>651</v>
      </c>
      <c r="AU31" s="9">
        <v>12</v>
      </c>
      <c r="AV31">
        <f t="shared" si="11"/>
        <v>0.44004400440044</v>
      </c>
      <c r="AY31" s="36" t="s">
        <v>713</v>
      </c>
      <c r="AZ31" t="s">
        <v>231</v>
      </c>
      <c r="BA31">
        <v>0</v>
      </c>
      <c r="BB31">
        <f t="shared" si="12"/>
        <v>0</v>
      </c>
      <c r="BD31">
        <v>2</v>
      </c>
      <c r="BE31">
        <f t="shared" si="13"/>
        <v>0.13029315960912052</v>
      </c>
      <c r="BG31">
        <v>0</v>
      </c>
      <c r="BH31">
        <f t="shared" si="14"/>
        <v>0</v>
      </c>
      <c r="BJ31">
        <v>0</v>
      </c>
      <c r="BK31">
        <f t="shared" si="15"/>
        <v>0</v>
      </c>
      <c r="BO31" s="36" t="s">
        <v>713</v>
      </c>
      <c r="BP31" s="1" t="s">
        <v>265</v>
      </c>
      <c r="BQ31">
        <v>0</v>
      </c>
      <c r="BR31">
        <f t="shared" si="1"/>
        <v>0</v>
      </c>
      <c r="BT31">
        <v>0</v>
      </c>
      <c r="BU31">
        <f t="shared" si="16"/>
        <v>0</v>
      </c>
      <c r="BW31">
        <v>3</v>
      </c>
      <c r="BX31">
        <f t="shared" si="17"/>
        <v>0.18621973929236499</v>
      </c>
      <c r="BZ31">
        <v>0</v>
      </c>
      <c r="CA31">
        <f t="shared" si="18"/>
        <v>0</v>
      </c>
      <c r="CE31" s="36" t="s">
        <v>713</v>
      </c>
      <c r="CF31" s="1" t="s">
        <v>265</v>
      </c>
      <c r="CG31">
        <v>1</v>
      </c>
      <c r="CH31">
        <f t="shared" si="19"/>
        <v>0.43668122270742354</v>
      </c>
      <c r="CJ31">
        <v>0</v>
      </c>
      <c r="CK31">
        <f t="shared" si="20"/>
        <v>0</v>
      </c>
      <c r="CM31">
        <v>0</v>
      </c>
      <c r="CN31">
        <f t="shared" si="21"/>
        <v>0</v>
      </c>
      <c r="CP31">
        <v>1</v>
      </c>
      <c r="CQ31">
        <f t="shared" si="22"/>
        <v>3.8182512409316534E-2</v>
      </c>
      <c r="CU31" s="36" t="s">
        <v>715</v>
      </c>
      <c r="CV31" t="s">
        <v>364</v>
      </c>
      <c r="CW31">
        <v>10</v>
      </c>
      <c r="CX31">
        <f t="shared" si="23"/>
        <v>1.2820512820512819</v>
      </c>
      <c r="DB31" s="36" t="s">
        <v>713</v>
      </c>
      <c r="DC31" t="s">
        <v>243</v>
      </c>
      <c r="DD31">
        <v>0</v>
      </c>
      <c r="DE31">
        <f t="shared" si="24"/>
        <v>0</v>
      </c>
      <c r="DG31">
        <v>2</v>
      </c>
      <c r="DH31">
        <f t="shared" si="25"/>
        <v>1.4388489208633095</v>
      </c>
      <c r="DJ31">
        <v>0</v>
      </c>
      <c r="DK31">
        <f t="shared" si="26"/>
        <v>0</v>
      </c>
      <c r="DM31">
        <v>0</v>
      </c>
      <c r="DN31">
        <f t="shared" si="27"/>
        <v>0</v>
      </c>
      <c r="DR31" s="36" t="s">
        <v>715</v>
      </c>
      <c r="DS31" t="s">
        <v>362</v>
      </c>
      <c r="DT31">
        <v>1</v>
      </c>
      <c r="DU31">
        <f t="shared" si="28"/>
        <v>0.5988023952095809</v>
      </c>
      <c r="DW31">
        <v>0</v>
      </c>
      <c r="DX31">
        <f t="shared" si="29"/>
        <v>0</v>
      </c>
      <c r="DZ31">
        <v>9</v>
      </c>
      <c r="EA31">
        <f t="shared" si="30"/>
        <v>2.9220779220779218</v>
      </c>
      <c r="EF31" s="28" t="s">
        <v>713</v>
      </c>
      <c r="EG31" s="28" t="s">
        <v>397</v>
      </c>
      <c r="EH31" s="28">
        <v>0</v>
      </c>
      <c r="EI31" s="28">
        <f>EH31/197*100</f>
        <v>0</v>
      </c>
      <c r="EJ31" s="28"/>
      <c r="EK31" s="28">
        <v>1</v>
      </c>
      <c r="EL31" s="28">
        <f>EK31/145*100</f>
        <v>0.68965517241379315</v>
      </c>
      <c r="EM31" s="28"/>
      <c r="EN31" s="28">
        <v>0</v>
      </c>
      <c r="EO31" s="28">
        <f t="shared" si="31"/>
        <v>0</v>
      </c>
      <c r="EP31" s="28"/>
      <c r="EQ31" s="28">
        <v>0</v>
      </c>
      <c r="ER31">
        <f t="shared" si="32"/>
        <v>0</v>
      </c>
    </row>
    <row r="32" spans="1:148" x14ac:dyDescent="0.25">
      <c r="G32" s="36" t="s">
        <v>713</v>
      </c>
      <c r="H32" s="1" t="s">
        <v>68</v>
      </c>
      <c r="I32">
        <v>1</v>
      </c>
      <c r="J32">
        <f t="shared" si="3"/>
        <v>0.10582010582010583</v>
      </c>
      <c r="M32" s="9" t="s">
        <v>715</v>
      </c>
      <c r="N32" s="9" t="s">
        <v>183</v>
      </c>
      <c r="O32" s="9">
        <v>24</v>
      </c>
      <c r="P32" s="9">
        <f t="shared" si="4"/>
        <v>5.1835853131749463</v>
      </c>
      <c r="Q32" s="9"/>
      <c r="R32" s="9">
        <v>4</v>
      </c>
      <c r="S32" s="9">
        <f t="shared" si="5"/>
        <v>1.6194331983805668</v>
      </c>
      <c r="T32" s="9"/>
      <c r="U32" s="9">
        <v>11</v>
      </c>
      <c r="V32" s="9">
        <f t="shared" si="6"/>
        <v>3.9568345323741005</v>
      </c>
      <c r="W32" s="9"/>
      <c r="X32" s="9">
        <v>0</v>
      </c>
      <c r="Y32">
        <f t="shared" si="7"/>
        <v>0</v>
      </c>
      <c r="AC32" s="36" t="s">
        <v>713</v>
      </c>
      <c r="AD32" s="26" t="s">
        <v>159</v>
      </c>
      <c r="AE32">
        <v>1</v>
      </c>
      <c r="AF32">
        <f t="shared" si="0"/>
        <v>0.36101083032490977</v>
      </c>
      <c r="AH32">
        <v>0</v>
      </c>
      <c r="AI32">
        <f t="shared" si="8"/>
        <v>0</v>
      </c>
      <c r="AK32">
        <v>0</v>
      </c>
      <c r="AL32">
        <f t="shared" si="9"/>
        <v>0</v>
      </c>
      <c r="AN32">
        <v>0</v>
      </c>
      <c r="AO32">
        <f t="shared" si="10"/>
        <v>0</v>
      </c>
      <c r="AS32" s="36" t="s">
        <v>713</v>
      </c>
      <c r="AT32" s="27" t="s">
        <v>654</v>
      </c>
      <c r="AU32" s="9">
        <v>6</v>
      </c>
      <c r="AV32">
        <f t="shared" si="11"/>
        <v>0.22002200220022</v>
      </c>
      <c r="AY32" s="36" t="s">
        <v>713</v>
      </c>
      <c r="AZ32" t="s">
        <v>110</v>
      </c>
      <c r="BA32">
        <v>0</v>
      </c>
      <c r="BB32">
        <f t="shared" si="12"/>
        <v>0</v>
      </c>
      <c r="BD32">
        <v>1</v>
      </c>
      <c r="BE32">
        <f t="shared" si="13"/>
        <v>6.5146579804560262E-2</v>
      </c>
      <c r="BG32">
        <v>0</v>
      </c>
      <c r="BH32">
        <f t="shared" si="14"/>
        <v>0</v>
      </c>
      <c r="BJ32">
        <v>1</v>
      </c>
      <c r="BK32">
        <f t="shared" si="15"/>
        <v>0.3401360544217687</v>
      </c>
      <c r="BO32" t="s">
        <v>576</v>
      </c>
      <c r="BP32" s="1" t="s">
        <v>257</v>
      </c>
      <c r="BQ32">
        <v>3</v>
      </c>
      <c r="BR32">
        <f t="shared" si="1"/>
        <v>8.7336244541484712E-2</v>
      </c>
      <c r="BT32">
        <v>0</v>
      </c>
      <c r="BU32">
        <f t="shared" si="16"/>
        <v>0</v>
      </c>
      <c r="BW32">
        <v>0</v>
      </c>
      <c r="BX32">
        <f t="shared" si="17"/>
        <v>0</v>
      </c>
      <c r="BZ32">
        <v>0</v>
      </c>
      <c r="CA32">
        <f t="shared" si="18"/>
        <v>0</v>
      </c>
      <c r="CE32" s="36" t="s">
        <v>713</v>
      </c>
      <c r="CF32" t="s">
        <v>284</v>
      </c>
      <c r="CG32">
        <v>6</v>
      </c>
      <c r="CH32">
        <f t="shared" si="19"/>
        <v>2.6200873362445414</v>
      </c>
      <c r="CJ32">
        <v>2</v>
      </c>
      <c r="CK32">
        <f t="shared" si="20"/>
        <v>0.44742729306487694</v>
      </c>
      <c r="CM32">
        <v>0</v>
      </c>
      <c r="CN32">
        <f t="shared" si="21"/>
        <v>0</v>
      </c>
      <c r="CP32">
        <v>1</v>
      </c>
      <c r="CQ32">
        <f t="shared" si="22"/>
        <v>3.8182512409316534E-2</v>
      </c>
      <c r="CU32" s="36" t="s">
        <v>715</v>
      </c>
      <c r="CV32" t="s">
        <v>559</v>
      </c>
      <c r="CW32">
        <v>2</v>
      </c>
      <c r="CX32">
        <f t="shared" si="23"/>
        <v>0.25641025641025639</v>
      </c>
      <c r="DB32" s="36" t="s">
        <v>713</v>
      </c>
      <c r="DC32" t="s">
        <v>375</v>
      </c>
      <c r="DD32">
        <v>0</v>
      </c>
      <c r="DE32">
        <f t="shared" si="24"/>
        <v>0</v>
      </c>
      <c r="DG32">
        <v>0</v>
      </c>
      <c r="DH32">
        <f t="shared" si="25"/>
        <v>0</v>
      </c>
      <c r="DJ32">
        <v>6</v>
      </c>
      <c r="DK32">
        <f t="shared" si="26"/>
        <v>1.5228426395939088</v>
      </c>
      <c r="DM32">
        <v>0</v>
      </c>
      <c r="DN32">
        <f t="shared" si="27"/>
        <v>0</v>
      </c>
      <c r="DR32" s="36" t="s">
        <v>715</v>
      </c>
      <c r="DS32" t="s">
        <v>364</v>
      </c>
      <c r="DT32">
        <v>17</v>
      </c>
      <c r="DU32">
        <f t="shared" si="28"/>
        <v>10.179640718562874</v>
      </c>
      <c r="DW32">
        <v>11</v>
      </c>
      <c r="DX32">
        <f t="shared" si="29"/>
        <v>4.1666666666666661</v>
      </c>
      <c r="DZ32">
        <v>35</v>
      </c>
      <c r="EA32">
        <f t="shared" si="30"/>
        <v>11.363636363636363</v>
      </c>
      <c r="EF32" s="28" t="s">
        <v>713</v>
      </c>
      <c r="EG32" s="28" t="s">
        <v>401</v>
      </c>
      <c r="EH32" s="28">
        <v>0</v>
      </c>
      <c r="EI32" s="28">
        <f>EH32/197*100</f>
        <v>0</v>
      </c>
      <c r="EJ32" s="28"/>
      <c r="EK32" s="28">
        <v>0</v>
      </c>
      <c r="EL32" s="28">
        <f>EK32/145*100</f>
        <v>0</v>
      </c>
      <c r="EM32" s="28"/>
      <c r="EN32" s="28">
        <v>1</v>
      </c>
      <c r="EO32" s="28">
        <f t="shared" si="31"/>
        <v>0.60240963855421692</v>
      </c>
      <c r="EP32" s="28"/>
      <c r="EQ32" s="28">
        <v>0</v>
      </c>
      <c r="ER32">
        <f t="shared" si="32"/>
        <v>0</v>
      </c>
    </row>
    <row r="33" spans="7:148" x14ac:dyDescent="0.25">
      <c r="G33" s="36" t="s">
        <v>713</v>
      </c>
      <c r="H33" s="1" t="s">
        <v>55</v>
      </c>
      <c r="I33">
        <v>1</v>
      </c>
      <c r="J33">
        <f t="shared" si="3"/>
        <v>0.10582010582010583</v>
      </c>
      <c r="M33" s="9" t="s">
        <v>715</v>
      </c>
      <c r="N33" s="30" t="s">
        <v>167</v>
      </c>
      <c r="O33" s="9">
        <v>30</v>
      </c>
      <c r="P33" s="9">
        <f t="shared" si="4"/>
        <v>6.4794816414686833</v>
      </c>
      <c r="Q33" s="9"/>
      <c r="R33" s="9">
        <v>25</v>
      </c>
      <c r="S33" s="9">
        <f t="shared" si="5"/>
        <v>10.121457489878543</v>
      </c>
      <c r="T33" s="9"/>
      <c r="U33" s="9">
        <v>8</v>
      </c>
      <c r="V33" s="9">
        <f t="shared" si="6"/>
        <v>2.877697841726619</v>
      </c>
      <c r="W33" s="9"/>
      <c r="X33" s="9">
        <v>0</v>
      </c>
      <c r="Y33">
        <f t="shared" si="7"/>
        <v>0</v>
      </c>
      <c r="AC33" t="s">
        <v>715</v>
      </c>
      <c r="AD33" s="26" t="s">
        <v>136</v>
      </c>
      <c r="AE33">
        <v>20</v>
      </c>
      <c r="AF33">
        <f t="shared" si="0"/>
        <v>7.2202166064981945</v>
      </c>
      <c r="AH33">
        <v>5</v>
      </c>
      <c r="AI33">
        <f t="shared" si="8"/>
        <v>2.6178010471204187</v>
      </c>
      <c r="AK33">
        <v>20</v>
      </c>
      <c r="AL33">
        <f t="shared" si="9"/>
        <v>9.6618357487922708</v>
      </c>
      <c r="AN33">
        <v>31</v>
      </c>
      <c r="AO33">
        <f t="shared" si="10"/>
        <v>17.222222222222221</v>
      </c>
      <c r="AS33" s="36" t="s">
        <v>713</v>
      </c>
      <c r="AT33" s="27" t="s">
        <v>655</v>
      </c>
      <c r="AU33" s="9">
        <v>1</v>
      </c>
      <c r="AV33">
        <f t="shared" si="11"/>
        <v>3.6670333700036667E-2</v>
      </c>
      <c r="AY33" s="36" t="s">
        <v>713</v>
      </c>
      <c r="AZ33" s="1" t="s">
        <v>243</v>
      </c>
      <c r="BA33">
        <v>0</v>
      </c>
      <c r="BB33">
        <f t="shared" si="12"/>
        <v>0</v>
      </c>
      <c r="BD33">
        <v>0</v>
      </c>
      <c r="BE33">
        <f t="shared" si="13"/>
        <v>0</v>
      </c>
      <c r="BG33">
        <v>1</v>
      </c>
      <c r="BH33">
        <f t="shared" si="14"/>
        <v>0.22727272727272727</v>
      </c>
      <c r="BJ33">
        <v>0</v>
      </c>
      <c r="BK33">
        <f t="shared" si="15"/>
        <v>0</v>
      </c>
      <c r="BO33" t="s">
        <v>715</v>
      </c>
      <c r="BP33" t="s">
        <v>162</v>
      </c>
      <c r="BQ33">
        <v>0</v>
      </c>
      <c r="BR33">
        <f t="shared" si="1"/>
        <v>0</v>
      </c>
      <c r="BT33">
        <v>0</v>
      </c>
      <c r="BU33">
        <f t="shared" si="16"/>
        <v>0</v>
      </c>
      <c r="BW33">
        <v>1</v>
      </c>
      <c r="BX33">
        <f t="shared" si="17"/>
        <v>6.2073246430788327E-2</v>
      </c>
      <c r="BZ33">
        <v>1</v>
      </c>
      <c r="CA33">
        <f t="shared" si="18"/>
        <v>0.45045045045045046</v>
      </c>
      <c r="CE33" s="36" t="s">
        <v>713</v>
      </c>
      <c r="CF33" s="1" t="s">
        <v>282</v>
      </c>
      <c r="CG33">
        <v>2</v>
      </c>
      <c r="CH33">
        <f t="shared" si="19"/>
        <v>0.87336244541484709</v>
      </c>
      <c r="CJ33">
        <v>0</v>
      </c>
      <c r="CK33">
        <f t="shared" si="20"/>
        <v>0</v>
      </c>
      <c r="CM33">
        <v>2</v>
      </c>
      <c r="CN33">
        <f t="shared" si="21"/>
        <v>7.4822297044519259E-2</v>
      </c>
      <c r="CP33">
        <v>2</v>
      </c>
      <c r="CQ33">
        <f t="shared" si="22"/>
        <v>7.6365024818633068E-2</v>
      </c>
      <c r="CU33" s="36" t="s">
        <v>715</v>
      </c>
      <c r="CV33" t="s">
        <v>349</v>
      </c>
      <c r="CW33">
        <v>1</v>
      </c>
      <c r="CX33">
        <f t="shared" si="23"/>
        <v>0.12820512820512819</v>
      </c>
      <c r="DB33" t="s">
        <v>576</v>
      </c>
      <c r="DC33" t="s">
        <v>257</v>
      </c>
      <c r="DD33">
        <v>0</v>
      </c>
      <c r="DE33">
        <f t="shared" si="24"/>
        <v>0</v>
      </c>
      <c r="DG33">
        <v>0</v>
      </c>
      <c r="DH33">
        <f t="shared" si="25"/>
        <v>0</v>
      </c>
      <c r="DJ33">
        <v>1</v>
      </c>
      <c r="DK33">
        <f t="shared" si="26"/>
        <v>0.25380710659898476</v>
      </c>
      <c r="DM33">
        <v>3</v>
      </c>
      <c r="DN33">
        <f t="shared" si="27"/>
        <v>1.5075376884422109</v>
      </c>
      <c r="DR33" s="36" t="s">
        <v>715</v>
      </c>
      <c r="DS33" t="s">
        <v>382</v>
      </c>
      <c r="DT33">
        <v>7</v>
      </c>
      <c r="DU33">
        <f t="shared" si="28"/>
        <v>4.1916167664670656</v>
      </c>
      <c r="DW33">
        <v>0</v>
      </c>
      <c r="DX33">
        <f t="shared" si="29"/>
        <v>0</v>
      </c>
      <c r="DZ33">
        <v>0</v>
      </c>
      <c r="EA33">
        <f t="shared" si="30"/>
        <v>0</v>
      </c>
      <c r="EF33" s="28" t="s">
        <v>577</v>
      </c>
      <c r="EG33" s="28" t="s">
        <v>257</v>
      </c>
      <c r="EH33" s="28">
        <v>1</v>
      </c>
      <c r="EI33" s="28">
        <f>EH33/197*100</f>
        <v>0.50761421319796951</v>
      </c>
      <c r="EJ33" s="28"/>
      <c r="EK33" s="28">
        <v>1</v>
      </c>
      <c r="EL33" s="28">
        <f>EK33/145*100</f>
        <v>0.68965517241379315</v>
      </c>
      <c r="EM33" s="28"/>
      <c r="EN33" s="28">
        <v>0</v>
      </c>
      <c r="EO33" s="28">
        <f t="shared" si="31"/>
        <v>0</v>
      </c>
      <c r="EP33" s="28"/>
      <c r="EQ33" s="28">
        <v>2</v>
      </c>
      <c r="ER33">
        <f t="shared" si="32"/>
        <v>2</v>
      </c>
    </row>
    <row r="34" spans="7:148" x14ac:dyDescent="0.25">
      <c r="G34" s="36" t="s">
        <v>713</v>
      </c>
      <c r="H34" s="1" t="s">
        <v>58</v>
      </c>
      <c r="I34">
        <v>3</v>
      </c>
      <c r="J34">
        <f t="shared" si="3"/>
        <v>0.31746031746031744</v>
      </c>
      <c r="M34" s="9" t="s">
        <v>715</v>
      </c>
      <c r="N34" s="30" t="s">
        <v>190</v>
      </c>
      <c r="O34" s="9">
        <v>25</v>
      </c>
      <c r="P34" s="9">
        <f t="shared" si="4"/>
        <v>5.3995680345572357</v>
      </c>
      <c r="Q34" s="9"/>
      <c r="R34" s="9">
        <v>24</v>
      </c>
      <c r="S34" s="9">
        <f t="shared" si="5"/>
        <v>9.7165991902834001</v>
      </c>
      <c r="T34" s="9"/>
      <c r="U34" s="9">
        <v>21</v>
      </c>
      <c r="V34" s="9">
        <f t="shared" si="6"/>
        <v>7.5539568345323742</v>
      </c>
      <c r="W34" s="9"/>
      <c r="X34" s="9">
        <v>14</v>
      </c>
      <c r="Y34">
        <f t="shared" si="7"/>
        <v>13.725490196078432</v>
      </c>
      <c r="AC34" s="36" t="s">
        <v>715</v>
      </c>
      <c r="AD34" s="26" t="s">
        <v>137</v>
      </c>
      <c r="AE34">
        <v>12</v>
      </c>
      <c r="AF34">
        <f t="shared" si="0"/>
        <v>4.3321299638989164</v>
      </c>
      <c r="AH34">
        <v>4</v>
      </c>
      <c r="AI34">
        <f t="shared" si="8"/>
        <v>2.0942408376963351</v>
      </c>
      <c r="AK34">
        <v>2</v>
      </c>
      <c r="AL34">
        <f t="shared" si="9"/>
        <v>0.96618357487922701</v>
      </c>
      <c r="AN34">
        <v>0</v>
      </c>
      <c r="AO34">
        <f t="shared" si="10"/>
        <v>0</v>
      </c>
      <c r="AS34" s="36" t="s">
        <v>713</v>
      </c>
      <c r="AT34" s="27" t="s">
        <v>657</v>
      </c>
      <c r="AU34" s="9">
        <v>1</v>
      </c>
      <c r="AV34">
        <f t="shared" si="11"/>
        <v>3.6670333700036667E-2</v>
      </c>
      <c r="AY34" s="36" t="s">
        <v>713</v>
      </c>
      <c r="AZ34" t="s">
        <v>244</v>
      </c>
      <c r="BA34">
        <v>0</v>
      </c>
      <c r="BB34">
        <f t="shared" si="12"/>
        <v>0</v>
      </c>
      <c r="BD34">
        <v>0</v>
      </c>
      <c r="BE34">
        <f t="shared" si="13"/>
        <v>0</v>
      </c>
      <c r="BG34">
        <v>4</v>
      </c>
      <c r="BH34">
        <f t="shared" si="14"/>
        <v>0.90909090909090906</v>
      </c>
      <c r="BJ34">
        <v>1</v>
      </c>
      <c r="BK34">
        <f t="shared" si="15"/>
        <v>0.3401360544217687</v>
      </c>
      <c r="BO34" s="36" t="s">
        <v>715</v>
      </c>
      <c r="BP34" t="s">
        <v>84</v>
      </c>
      <c r="BQ34">
        <v>840</v>
      </c>
      <c r="BR34">
        <f t="shared" si="1"/>
        <v>24.454148471615721</v>
      </c>
      <c r="BT34">
        <v>1</v>
      </c>
      <c r="BU34">
        <f t="shared" si="16"/>
        <v>0.3236245954692557</v>
      </c>
      <c r="BW34">
        <v>10</v>
      </c>
      <c r="BX34">
        <f t="shared" si="17"/>
        <v>0.62073246430788331</v>
      </c>
      <c r="BZ34">
        <v>27</v>
      </c>
      <c r="CA34">
        <f t="shared" si="18"/>
        <v>12.162162162162163</v>
      </c>
      <c r="CE34" s="36" t="s">
        <v>713</v>
      </c>
      <c r="CF34" t="s">
        <v>283</v>
      </c>
      <c r="CG34">
        <v>2</v>
      </c>
      <c r="CH34">
        <f t="shared" si="19"/>
        <v>0.87336244541484709</v>
      </c>
      <c r="CJ34">
        <v>0</v>
      </c>
      <c r="CK34">
        <f t="shared" si="20"/>
        <v>0</v>
      </c>
      <c r="CM34">
        <v>0</v>
      </c>
      <c r="CN34">
        <f t="shared" si="21"/>
        <v>0</v>
      </c>
      <c r="CP34">
        <v>11</v>
      </c>
      <c r="CQ34">
        <f t="shared" si="22"/>
        <v>0.42000763650248191</v>
      </c>
      <c r="CU34" s="36" t="s">
        <v>715</v>
      </c>
      <c r="CV34" t="s">
        <v>563</v>
      </c>
      <c r="CW34">
        <v>2</v>
      </c>
      <c r="CX34">
        <f t="shared" si="23"/>
        <v>0.25641025641025639</v>
      </c>
      <c r="DB34" t="s">
        <v>715</v>
      </c>
      <c r="DC34" t="s">
        <v>350</v>
      </c>
      <c r="DD34">
        <v>0</v>
      </c>
      <c r="DE34">
        <f t="shared" si="24"/>
        <v>0</v>
      </c>
      <c r="DG34">
        <v>0</v>
      </c>
      <c r="DH34">
        <f t="shared" si="25"/>
        <v>0</v>
      </c>
      <c r="DJ34">
        <v>10</v>
      </c>
      <c r="DK34">
        <f t="shared" si="26"/>
        <v>2.5380710659898478</v>
      </c>
      <c r="DM34">
        <v>0</v>
      </c>
      <c r="DN34">
        <f t="shared" si="27"/>
        <v>0</v>
      </c>
      <c r="DR34" s="36" t="s">
        <v>715</v>
      </c>
      <c r="DS34" t="s">
        <v>94</v>
      </c>
      <c r="DT34">
        <v>1</v>
      </c>
      <c r="DU34">
        <f t="shared" si="28"/>
        <v>0.5988023952095809</v>
      </c>
      <c r="DW34">
        <v>0</v>
      </c>
      <c r="DX34">
        <f t="shared" si="29"/>
        <v>0</v>
      </c>
      <c r="DZ34">
        <v>0</v>
      </c>
      <c r="EA34">
        <f t="shared" si="30"/>
        <v>0</v>
      </c>
      <c r="EF34" s="28" t="s">
        <v>715</v>
      </c>
      <c r="EG34" s="28" t="s">
        <v>350</v>
      </c>
      <c r="EH34" s="28">
        <v>3</v>
      </c>
      <c r="EI34" s="28">
        <f>EH34/197*100</f>
        <v>1.5228426395939088</v>
      </c>
      <c r="EJ34" s="28"/>
      <c r="EK34" s="28">
        <v>3</v>
      </c>
      <c r="EL34" s="28">
        <f>EK34/145*100</f>
        <v>2.0689655172413794</v>
      </c>
      <c r="EM34" s="28"/>
      <c r="EN34" s="28">
        <v>1</v>
      </c>
      <c r="EO34" s="28">
        <f t="shared" si="31"/>
        <v>0.60240963855421692</v>
      </c>
      <c r="EP34" s="28"/>
      <c r="EQ34" s="28">
        <v>4</v>
      </c>
      <c r="ER34">
        <f t="shared" si="32"/>
        <v>4</v>
      </c>
    </row>
    <row r="35" spans="7:148" x14ac:dyDescent="0.25">
      <c r="G35" t="s">
        <v>715</v>
      </c>
      <c r="H35" s="1" t="s">
        <v>51</v>
      </c>
      <c r="I35">
        <v>61</v>
      </c>
      <c r="J35">
        <f t="shared" si="3"/>
        <v>6.4550264550264549</v>
      </c>
      <c r="M35" s="9" t="s">
        <v>715</v>
      </c>
      <c r="N35" s="30" t="s">
        <v>191</v>
      </c>
      <c r="O35" s="9">
        <v>3</v>
      </c>
      <c r="P35" s="9">
        <f t="shared" si="4"/>
        <v>0.64794816414686829</v>
      </c>
      <c r="Q35" s="9"/>
      <c r="R35" s="9">
        <v>6</v>
      </c>
      <c r="S35" s="9">
        <f t="shared" si="5"/>
        <v>2.42914979757085</v>
      </c>
      <c r="T35" s="9"/>
      <c r="U35" s="9">
        <v>0</v>
      </c>
      <c r="V35" s="9">
        <f t="shared" si="6"/>
        <v>0</v>
      </c>
      <c r="W35" s="9"/>
      <c r="X35" s="9">
        <v>0</v>
      </c>
      <c r="Y35">
        <f t="shared" si="7"/>
        <v>0</v>
      </c>
      <c r="AC35" s="36" t="s">
        <v>715</v>
      </c>
      <c r="AD35" s="26" t="s">
        <v>36</v>
      </c>
      <c r="AE35">
        <v>9</v>
      </c>
      <c r="AF35">
        <f t="shared" si="0"/>
        <v>3.2490974729241873</v>
      </c>
      <c r="AH35">
        <v>8</v>
      </c>
      <c r="AI35">
        <f t="shared" si="8"/>
        <v>4.1884816753926701</v>
      </c>
      <c r="AK35">
        <v>25</v>
      </c>
      <c r="AL35">
        <f t="shared" si="9"/>
        <v>12.077294685990339</v>
      </c>
      <c r="AN35">
        <v>2</v>
      </c>
      <c r="AO35">
        <f t="shared" si="10"/>
        <v>1.1111111111111112</v>
      </c>
      <c r="AS35" s="36" t="s">
        <v>713</v>
      </c>
      <c r="AT35" s="27" t="s">
        <v>659</v>
      </c>
      <c r="AU35" s="9">
        <v>3</v>
      </c>
      <c r="AV35">
        <f t="shared" si="11"/>
        <v>0.11001100110011</v>
      </c>
      <c r="AY35" s="36" t="s">
        <v>713</v>
      </c>
      <c r="AZ35" t="s">
        <v>245</v>
      </c>
      <c r="BA35">
        <v>0</v>
      </c>
      <c r="BB35">
        <f t="shared" si="12"/>
        <v>0</v>
      </c>
      <c r="BD35">
        <v>0</v>
      </c>
      <c r="BE35">
        <f t="shared" si="13"/>
        <v>0</v>
      </c>
      <c r="BG35">
        <v>3</v>
      </c>
      <c r="BH35">
        <f t="shared" si="14"/>
        <v>0.68181818181818177</v>
      </c>
      <c r="BJ35">
        <v>0</v>
      </c>
      <c r="BK35">
        <f t="shared" si="15"/>
        <v>0</v>
      </c>
      <c r="BO35" s="36" t="s">
        <v>715</v>
      </c>
      <c r="BP35" t="s">
        <v>224</v>
      </c>
      <c r="BQ35">
        <v>1230</v>
      </c>
      <c r="BR35">
        <f t="shared" ref="BR35:BR54" si="33">BQ35/3435*100</f>
        <v>35.807860262008731</v>
      </c>
      <c r="BT35">
        <v>1</v>
      </c>
      <c r="BU35">
        <f t="shared" si="16"/>
        <v>0.3236245954692557</v>
      </c>
      <c r="BW35">
        <v>0</v>
      </c>
      <c r="BX35">
        <f t="shared" si="17"/>
        <v>0</v>
      </c>
      <c r="BZ35">
        <v>1</v>
      </c>
      <c r="CA35">
        <f t="shared" si="18"/>
        <v>0.45045045045045046</v>
      </c>
      <c r="CE35" s="36" t="s">
        <v>713</v>
      </c>
      <c r="CF35" t="s">
        <v>285</v>
      </c>
      <c r="CG35">
        <v>6</v>
      </c>
      <c r="CH35">
        <f t="shared" si="19"/>
        <v>2.6200873362445414</v>
      </c>
      <c r="CJ35">
        <v>6</v>
      </c>
      <c r="CK35">
        <f t="shared" si="20"/>
        <v>1.3422818791946309</v>
      </c>
      <c r="CM35">
        <v>0</v>
      </c>
      <c r="CN35">
        <f t="shared" si="21"/>
        <v>0</v>
      </c>
      <c r="CP35">
        <v>1</v>
      </c>
      <c r="CQ35">
        <f t="shared" si="22"/>
        <v>3.8182512409316534E-2</v>
      </c>
      <c r="CU35" t="s">
        <v>321</v>
      </c>
      <c r="CV35" t="s">
        <v>276</v>
      </c>
      <c r="CW35">
        <v>5</v>
      </c>
      <c r="CX35">
        <f t="shared" si="23"/>
        <v>0.64102564102564097</v>
      </c>
      <c r="DB35" s="36" t="s">
        <v>715</v>
      </c>
      <c r="DC35" t="s">
        <v>95</v>
      </c>
      <c r="DD35">
        <v>0</v>
      </c>
      <c r="DE35">
        <f t="shared" si="24"/>
        <v>0</v>
      </c>
      <c r="DG35">
        <v>3</v>
      </c>
      <c r="DH35">
        <f t="shared" si="25"/>
        <v>2.1582733812949639</v>
      </c>
      <c r="DJ35">
        <v>38</v>
      </c>
      <c r="DK35">
        <f t="shared" si="26"/>
        <v>9.6446700507614214</v>
      </c>
      <c r="DM35">
        <v>9</v>
      </c>
      <c r="DN35">
        <f t="shared" si="27"/>
        <v>4.5226130653266337</v>
      </c>
      <c r="DR35" s="36" t="s">
        <v>715</v>
      </c>
      <c r="DS35" t="s">
        <v>384</v>
      </c>
      <c r="DT35">
        <v>1</v>
      </c>
      <c r="DU35">
        <f t="shared" si="28"/>
        <v>0.5988023952095809</v>
      </c>
      <c r="DW35">
        <v>0</v>
      </c>
      <c r="DX35">
        <f t="shared" si="29"/>
        <v>0</v>
      </c>
      <c r="DZ35">
        <v>0</v>
      </c>
      <c r="EA35">
        <f t="shared" si="30"/>
        <v>0</v>
      </c>
      <c r="EF35" s="28" t="s">
        <v>715</v>
      </c>
      <c r="EG35" s="28" t="s">
        <v>95</v>
      </c>
      <c r="EH35" s="28">
        <v>13</v>
      </c>
      <c r="EI35" s="28">
        <f>EH35/197*100</f>
        <v>6.5989847715736047</v>
      </c>
      <c r="EJ35" s="28"/>
      <c r="EK35" s="28">
        <v>8</v>
      </c>
      <c r="EL35" s="28">
        <f>EK35/145*100</f>
        <v>5.5172413793103452</v>
      </c>
      <c r="EM35" s="28"/>
      <c r="EN35" s="28">
        <v>1</v>
      </c>
      <c r="EO35" s="28">
        <f t="shared" si="31"/>
        <v>0.60240963855421692</v>
      </c>
      <c r="EP35" s="28"/>
      <c r="EQ35" s="28">
        <v>0</v>
      </c>
      <c r="ER35">
        <f t="shared" si="32"/>
        <v>0</v>
      </c>
    </row>
    <row r="36" spans="7:148" x14ac:dyDescent="0.25">
      <c r="G36" s="36" t="s">
        <v>715</v>
      </c>
      <c r="H36" t="s">
        <v>80</v>
      </c>
      <c r="I36">
        <v>8</v>
      </c>
      <c r="J36">
        <f t="shared" si="3"/>
        <v>0.84656084656084662</v>
      </c>
      <c r="M36" s="9" t="s">
        <v>715</v>
      </c>
      <c r="N36" s="30" t="s">
        <v>194</v>
      </c>
      <c r="O36" s="9">
        <v>12</v>
      </c>
      <c r="P36" s="9">
        <f t="shared" si="4"/>
        <v>2.5917926565874732</v>
      </c>
      <c r="Q36" s="9"/>
      <c r="R36" s="9">
        <v>10</v>
      </c>
      <c r="S36" s="9">
        <f t="shared" si="5"/>
        <v>4.048582995951417</v>
      </c>
      <c r="T36" s="9"/>
      <c r="U36" s="9">
        <v>0</v>
      </c>
      <c r="V36" s="9">
        <f t="shared" si="6"/>
        <v>0</v>
      </c>
      <c r="W36" s="9"/>
      <c r="X36" s="9">
        <v>0</v>
      </c>
      <c r="Y36">
        <f t="shared" si="7"/>
        <v>0</v>
      </c>
      <c r="AC36" s="36" t="s">
        <v>715</v>
      </c>
      <c r="AD36" s="26" t="s">
        <v>20</v>
      </c>
      <c r="AE36">
        <v>10</v>
      </c>
      <c r="AF36">
        <f t="shared" si="0"/>
        <v>3.6101083032490973</v>
      </c>
      <c r="AH36">
        <v>3</v>
      </c>
      <c r="AI36">
        <f t="shared" si="8"/>
        <v>1.5706806282722512</v>
      </c>
      <c r="AK36">
        <v>7</v>
      </c>
      <c r="AL36">
        <f t="shared" si="9"/>
        <v>3.3816425120772946</v>
      </c>
      <c r="AN36">
        <v>0</v>
      </c>
      <c r="AO36">
        <f t="shared" si="10"/>
        <v>0</v>
      </c>
      <c r="AS36" s="36" t="s">
        <v>713</v>
      </c>
      <c r="AT36" s="27" t="s">
        <v>661</v>
      </c>
      <c r="AU36" s="9">
        <v>1</v>
      </c>
      <c r="AV36">
        <f t="shared" si="11"/>
        <v>3.6670333700036667E-2</v>
      </c>
      <c r="AY36" s="36" t="s">
        <v>713</v>
      </c>
      <c r="AZ36" t="s">
        <v>94</v>
      </c>
      <c r="BA36">
        <v>0</v>
      </c>
      <c r="BB36">
        <f t="shared" si="12"/>
        <v>0</v>
      </c>
      <c r="BD36">
        <v>0</v>
      </c>
      <c r="BE36">
        <f t="shared" si="13"/>
        <v>0</v>
      </c>
      <c r="BG36">
        <v>2</v>
      </c>
      <c r="BH36">
        <f t="shared" si="14"/>
        <v>0.45454545454545453</v>
      </c>
      <c r="BJ36">
        <v>0</v>
      </c>
      <c r="BK36">
        <f t="shared" si="15"/>
        <v>0</v>
      </c>
      <c r="BO36" s="36" t="s">
        <v>715</v>
      </c>
      <c r="BP36" t="s">
        <v>163</v>
      </c>
      <c r="BQ36">
        <v>190</v>
      </c>
      <c r="BR36">
        <f t="shared" si="33"/>
        <v>5.5312954876273652</v>
      </c>
      <c r="BT36">
        <v>25</v>
      </c>
      <c r="BU36">
        <f t="shared" si="16"/>
        <v>8.090614886731391</v>
      </c>
      <c r="BW36">
        <v>33</v>
      </c>
      <c r="BX36">
        <f t="shared" si="17"/>
        <v>2.0484171322160147</v>
      </c>
      <c r="BZ36">
        <v>17</v>
      </c>
      <c r="CA36">
        <f t="shared" si="18"/>
        <v>7.6576576576576567</v>
      </c>
      <c r="CE36" s="36" t="s">
        <v>713</v>
      </c>
      <c r="CF36" s="1" t="s">
        <v>286</v>
      </c>
      <c r="CG36">
        <v>4</v>
      </c>
      <c r="CH36">
        <f t="shared" si="19"/>
        <v>1.7467248908296942</v>
      </c>
      <c r="CJ36">
        <v>3</v>
      </c>
      <c r="CK36">
        <f t="shared" si="20"/>
        <v>0.67114093959731547</v>
      </c>
      <c r="CM36">
        <v>0</v>
      </c>
      <c r="CN36">
        <f t="shared" si="21"/>
        <v>0</v>
      </c>
      <c r="CP36">
        <v>0</v>
      </c>
      <c r="CQ36">
        <f t="shared" si="22"/>
        <v>0</v>
      </c>
      <c r="CU36" t="s">
        <v>568</v>
      </c>
      <c r="CV36" t="s">
        <v>261</v>
      </c>
      <c r="CW36">
        <v>4</v>
      </c>
      <c r="CX36">
        <f t="shared" si="23"/>
        <v>0.51282051282051277</v>
      </c>
      <c r="DB36" s="36" t="s">
        <v>715</v>
      </c>
      <c r="DC36" t="s">
        <v>356</v>
      </c>
      <c r="DD36">
        <v>0</v>
      </c>
      <c r="DE36">
        <f t="shared" si="24"/>
        <v>0</v>
      </c>
      <c r="DG36">
        <v>3</v>
      </c>
      <c r="DH36">
        <f t="shared" si="25"/>
        <v>2.1582733812949639</v>
      </c>
      <c r="DJ36">
        <v>7</v>
      </c>
      <c r="DK36">
        <f t="shared" si="26"/>
        <v>1.7766497461928936</v>
      </c>
      <c r="DM36">
        <v>0</v>
      </c>
      <c r="DN36">
        <f t="shared" si="27"/>
        <v>0</v>
      </c>
      <c r="DR36" s="36" t="s">
        <v>715</v>
      </c>
      <c r="DS36" t="s">
        <v>385</v>
      </c>
      <c r="DT36">
        <v>1</v>
      </c>
      <c r="DU36">
        <f t="shared" si="28"/>
        <v>0.5988023952095809</v>
      </c>
      <c r="DW36">
        <v>3</v>
      </c>
      <c r="DX36">
        <f t="shared" si="29"/>
        <v>1.1363636363636365</v>
      </c>
      <c r="DZ36">
        <v>2</v>
      </c>
      <c r="EA36">
        <f t="shared" si="30"/>
        <v>0.64935064935064934</v>
      </c>
      <c r="EF36" s="28" t="s">
        <v>715</v>
      </c>
      <c r="EG36" s="28" t="s">
        <v>356</v>
      </c>
      <c r="EH36" s="28">
        <v>0</v>
      </c>
      <c r="EI36" s="28">
        <f>EH36/197*100</f>
        <v>0</v>
      </c>
      <c r="EJ36" s="28"/>
      <c r="EK36" s="28">
        <v>8</v>
      </c>
      <c r="EL36" s="28">
        <f>EK36/145*100</f>
        <v>5.5172413793103452</v>
      </c>
      <c r="EM36" s="28"/>
      <c r="EN36" s="28">
        <v>25</v>
      </c>
      <c r="EO36" s="28">
        <f t="shared" si="31"/>
        <v>15.060240963855422</v>
      </c>
      <c r="EP36" s="28"/>
      <c r="EQ36" s="28">
        <v>1</v>
      </c>
      <c r="ER36">
        <f t="shared" si="32"/>
        <v>1</v>
      </c>
    </row>
    <row r="37" spans="7:148" x14ac:dyDescent="0.25">
      <c r="G37" s="36" t="s">
        <v>715</v>
      </c>
      <c r="H37" t="s">
        <v>83</v>
      </c>
      <c r="I37">
        <v>83</v>
      </c>
      <c r="J37">
        <f t="shared" si="3"/>
        <v>8.7830687830687832</v>
      </c>
      <c r="M37" s="9" t="s">
        <v>715</v>
      </c>
      <c r="N37" s="31" t="s">
        <v>197</v>
      </c>
      <c r="O37" s="9">
        <v>8</v>
      </c>
      <c r="P37" s="9">
        <f t="shared" si="4"/>
        <v>1.7278617710583155</v>
      </c>
      <c r="Q37" s="9"/>
      <c r="R37" s="9">
        <v>3</v>
      </c>
      <c r="S37" s="9">
        <f t="shared" si="5"/>
        <v>1.214574898785425</v>
      </c>
      <c r="T37" s="9"/>
      <c r="U37" s="9">
        <v>0</v>
      </c>
      <c r="V37" s="9">
        <f t="shared" si="6"/>
        <v>0</v>
      </c>
      <c r="W37" s="9"/>
      <c r="X37" s="9">
        <v>0</v>
      </c>
      <c r="Y37">
        <f t="shared" si="7"/>
        <v>0</v>
      </c>
      <c r="AC37" s="36" t="s">
        <v>715</v>
      </c>
      <c r="AD37" s="26" t="s">
        <v>140</v>
      </c>
      <c r="AE37">
        <v>7</v>
      </c>
      <c r="AF37">
        <f t="shared" si="0"/>
        <v>2.5270758122743682</v>
      </c>
      <c r="AH37">
        <v>3</v>
      </c>
      <c r="AI37">
        <f t="shared" si="8"/>
        <v>1.5706806282722512</v>
      </c>
      <c r="AK37">
        <v>3</v>
      </c>
      <c r="AL37">
        <f t="shared" si="9"/>
        <v>1.4492753623188406</v>
      </c>
      <c r="AN37">
        <v>6</v>
      </c>
      <c r="AO37">
        <f t="shared" si="10"/>
        <v>3.3333333333333335</v>
      </c>
      <c r="AS37" s="36" t="s">
        <v>713</v>
      </c>
      <c r="AT37" s="27" t="s">
        <v>667</v>
      </c>
      <c r="AU37" s="9">
        <v>15</v>
      </c>
      <c r="AV37">
        <f t="shared" si="11"/>
        <v>0.55005500550055009</v>
      </c>
      <c r="AY37" s="36" t="s">
        <v>713</v>
      </c>
      <c r="AZ37" t="s">
        <v>14</v>
      </c>
      <c r="BA37">
        <v>0</v>
      </c>
      <c r="BB37">
        <f t="shared" si="12"/>
        <v>0</v>
      </c>
      <c r="BD37">
        <v>0</v>
      </c>
      <c r="BE37">
        <f t="shared" si="13"/>
        <v>0</v>
      </c>
      <c r="BG37">
        <v>1</v>
      </c>
      <c r="BH37">
        <f t="shared" si="14"/>
        <v>0.22727272727272727</v>
      </c>
      <c r="BJ37">
        <v>2</v>
      </c>
      <c r="BK37">
        <f t="shared" si="15"/>
        <v>0.68027210884353739</v>
      </c>
      <c r="BO37" s="36" t="s">
        <v>715</v>
      </c>
      <c r="BP37" t="s">
        <v>108</v>
      </c>
      <c r="BQ37">
        <v>688</v>
      </c>
      <c r="BR37">
        <f t="shared" si="33"/>
        <v>20.029112081513826</v>
      </c>
      <c r="BT37">
        <v>1</v>
      </c>
      <c r="BU37">
        <f t="shared" si="16"/>
        <v>0.3236245954692557</v>
      </c>
      <c r="BW37">
        <v>1110</v>
      </c>
      <c r="BX37">
        <f t="shared" si="17"/>
        <v>68.901303538175057</v>
      </c>
      <c r="BZ37">
        <v>20</v>
      </c>
      <c r="CA37">
        <f t="shared" si="18"/>
        <v>9.0090090090090094</v>
      </c>
      <c r="CE37" s="36" t="s">
        <v>713</v>
      </c>
      <c r="CF37" s="1" t="s">
        <v>288</v>
      </c>
      <c r="CG37">
        <v>1</v>
      </c>
      <c r="CH37">
        <f t="shared" si="19"/>
        <v>0.43668122270742354</v>
      </c>
      <c r="CJ37">
        <v>0</v>
      </c>
      <c r="CK37">
        <f t="shared" si="20"/>
        <v>0</v>
      </c>
      <c r="CM37">
        <v>0</v>
      </c>
      <c r="CN37">
        <f t="shared" si="21"/>
        <v>0</v>
      </c>
      <c r="CP37">
        <v>1</v>
      </c>
      <c r="CQ37">
        <f t="shared" si="22"/>
        <v>3.8182512409316534E-2</v>
      </c>
      <c r="CU37" t="s">
        <v>568</v>
      </c>
      <c r="CV37" t="s">
        <v>560</v>
      </c>
      <c r="CW37">
        <v>3</v>
      </c>
      <c r="CX37">
        <f t="shared" si="23"/>
        <v>0.38461538461538464</v>
      </c>
      <c r="DB37" s="36" t="s">
        <v>715</v>
      </c>
      <c r="DC37" t="s">
        <v>361</v>
      </c>
      <c r="DD37">
        <v>2</v>
      </c>
      <c r="DE37">
        <f t="shared" si="24"/>
        <v>1.680672268907563</v>
      </c>
      <c r="DG37">
        <v>3</v>
      </c>
      <c r="DH37">
        <f t="shared" si="25"/>
        <v>2.1582733812949639</v>
      </c>
      <c r="DJ37">
        <v>1</v>
      </c>
      <c r="DK37">
        <f t="shared" si="26"/>
        <v>0.25380710659898476</v>
      </c>
      <c r="DM37">
        <v>1</v>
      </c>
      <c r="DN37">
        <f t="shared" si="27"/>
        <v>0.50251256281407031</v>
      </c>
      <c r="DR37" s="36" t="s">
        <v>715</v>
      </c>
      <c r="DS37" t="s">
        <v>389</v>
      </c>
      <c r="DT37">
        <v>0</v>
      </c>
      <c r="DU37">
        <f t="shared" si="28"/>
        <v>0</v>
      </c>
      <c r="DW37">
        <v>2</v>
      </c>
      <c r="DX37">
        <f t="shared" si="29"/>
        <v>0.75757575757575757</v>
      </c>
      <c r="DZ37">
        <v>0</v>
      </c>
      <c r="EA37">
        <f t="shared" si="30"/>
        <v>0</v>
      </c>
      <c r="EF37" s="28" t="s">
        <v>715</v>
      </c>
      <c r="EG37" s="28" t="s">
        <v>361</v>
      </c>
      <c r="EH37" s="28">
        <v>73</v>
      </c>
      <c r="EI37" s="28">
        <f>EH37/197*100</f>
        <v>37.055837563451774</v>
      </c>
      <c r="EJ37" s="28"/>
      <c r="EK37" s="28">
        <v>18</v>
      </c>
      <c r="EL37" s="28">
        <f>EK37/145*100</f>
        <v>12.413793103448276</v>
      </c>
      <c r="EM37" s="28"/>
      <c r="EN37" s="28">
        <v>17</v>
      </c>
      <c r="EO37" s="28">
        <f t="shared" si="31"/>
        <v>10.240963855421686</v>
      </c>
      <c r="EP37" s="28"/>
      <c r="EQ37" s="28">
        <v>18</v>
      </c>
      <c r="ER37">
        <f t="shared" si="32"/>
        <v>18</v>
      </c>
    </row>
    <row r="38" spans="7:148" x14ac:dyDescent="0.25">
      <c r="G38" s="36" t="s">
        <v>715</v>
      </c>
      <c r="H38" t="s">
        <v>84</v>
      </c>
      <c r="I38">
        <v>55</v>
      </c>
      <c r="J38">
        <f t="shared" si="3"/>
        <v>5.8201058201058196</v>
      </c>
      <c r="M38" s="9" t="s">
        <v>715</v>
      </c>
      <c r="N38" s="30" t="s">
        <v>198</v>
      </c>
      <c r="O38" s="9">
        <v>1</v>
      </c>
      <c r="P38" s="9">
        <f t="shared" si="4"/>
        <v>0.21598272138228944</v>
      </c>
      <c r="Q38" s="9"/>
      <c r="R38" s="9">
        <v>0</v>
      </c>
      <c r="S38" s="9">
        <f t="shared" si="5"/>
        <v>0</v>
      </c>
      <c r="T38" s="9"/>
      <c r="U38" s="9">
        <v>0</v>
      </c>
      <c r="V38" s="9">
        <f t="shared" si="6"/>
        <v>0</v>
      </c>
      <c r="W38" s="9"/>
      <c r="X38" s="9">
        <v>0</v>
      </c>
      <c r="Y38">
        <f t="shared" si="7"/>
        <v>0</v>
      </c>
      <c r="AC38" s="36" t="s">
        <v>715</v>
      </c>
      <c r="AD38" s="26" t="s">
        <v>141</v>
      </c>
      <c r="AE38">
        <v>5</v>
      </c>
      <c r="AF38">
        <f t="shared" si="0"/>
        <v>1.8050541516245486</v>
      </c>
      <c r="AH38">
        <v>13</v>
      </c>
      <c r="AI38">
        <f t="shared" si="8"/>
        <v>6.8062827225130889</v>
      </c>
      <c r="AK38">
        <v>15</v>
      </c>
      <c r="AL38">
        <f t="shared" si="9"/>
        <v>7.2463768115942031</v>
      </c>
      <c r="AN38">
        <v>6</v>
      </c>
      <c r="AO38">
        <f t="shared" si="10"/>
        <v>3.3333333333333335</v>
      </c>
      <c r="AS38" s="36" t="s">
        <v>713</v>
      </c>
      <c r="AT38" s="27" t="s">
        <v>668</v>
      </c>
      <c r="AU38" s="9">
        <v>6</v>
      </c>
      <c r="AV38">
        <f t="shared" si="11"/>
        <v>0.22002200220022</v>
      </c>
      <c r="AY38" s="36" t="s">
        <v>713</v>
      </c>
      <c r="AZ38" t="s">
        <v>200</v>
      </c>
      <c r="BA38">
        <v>0</v>
      </c>
      <c r="BB38">
        <f t="shared" si="12"/>
        <v>0</v>
      </c>
      <c r="BD38">
        <v>0</v>
      </c>
      <c r="BE38">
        <f t="shared" si="13"/>
        <v>0</v>
      </c>
      <c r="BG38">
        <v>1</v>
      </c>
      <c r="BH38">
        <f t="shared" si="14"/>
        <v>0.22727272727272727</v>
      </c>
      <c r="BJ38">
        <v>0</v>
      </c>
      <c r="BK38">
        <f t="shared" si="15"/>
        <v>0</v>
      </c>
      <c r="BO38" s="36" t="s">
        <v>715</v>
      </c>
      <c r="BP38" t="s">
        <v>167</v>
      </c>
      <c r="BQ38">
        <v>4</v>
      </c>
      <c r="BR38">
        <f t="shared" si="33"/>
        <v>0.11644832605531297</v>
      </c>
      <c r="BT38">
        <v>5</v>
      </c>
      <c r="BU38">
        <f t="shared" si="16"/>
        <v>1.6181229773462782</v>
      </c>
      <c r="BW38">
        <v>0</v>
      </c>
      <c r="BX38">
        <f t="shared" si="17"/>
        <v>0</v>
      </c>
      <c r="BZ38">
        <v>1</v>
      </c>
      <c r="CA38">
        <f t="shared" si="18"/>
        <v>0.45045045045045046</v>
      </c>
      <c r="CE38" s="36" t="s">
        <v>713</v>
      </c>
      <c r="CF38" s="1" t="s">
        <v>289</v>
      </c>
      <c r="CG38">
        <v>1</v>
      </c>
      <c r="CH38">
        <f t="shared" si="19"/>
        <v>0.43668122270742354</v>
      </c>
      <c r="CJ38">
        <v>2</v>
      </c>
      <c r="CK38">
        <f t="shared" si="20"/>
        <v>0.44742729306487694</v>
      </c>
      <c r="CM38">
        <v>0</v>
      </c>
      <c r="CN38">
        <f t="shared" si="21"/>
        <v>0</v>
      </c>
      <c r="CP38">
        <v>0</v>
      </c>
      <c r="CQ38">
        <f t="shared" si="22"/>
        <v>0</v>
      </c>
      <c r="CU38" t="s">
        <v>568</v>
      </c>
      <c r="CV38" t="s">
        <v>562</v>
      </c>
      <c r="CW38">
        <v>1</v>
      </c>
      <c r="CX38">
        <f t="shared" si="23"/>
        <v>0.12820512820512819</v>
      </c>
      <c r="DB38" s="36" t="s">
        <v>715</v>
      </c>
      <c r="DC38" t="s">
        <v>364</v>
      </c>
      <c r="DD38">
        <v>1</v>
      </c>
      <c r="DE38">
        <f t="shared" si="24"/>
        <v>0.84033613445378152</v>
      </c>
      <c r="DG38">
        <v>0</v>
      </c>
      <c r="DH38">
        <f t="shared" si="25"/>
        <v>0</v>
      </c>
      <c r="DJ38">
        <v>53</v>
      </c>
      <c r="DK38">
        <f t="shared" si="26"/>
        <v>13.451776649746192</v>
      </c>
      <c r="DM38">
        <v>1</v>
      </c>
      <c r="DN38">
        <f t="shared" si="27"/>
        <v>0.50251256281407031</v>
      </c>
      <c r="DR38" s="36" t="s">
        <v>715</v>
      </c>
      <c r="DS38" t="s">
        <v>42</v>
      </c>
      <c r="DT38">
        <v>0</v>
      </c>
      <c r="DU38">
        <f t="shared" si="28"/>
        <v>0</v>
      </c>
      <c r="DW38">
        <v>0</v>
      </c>
      <c r="DX38">
        <f t="shared" si="29"/>
        <v>0</v>
      </c>
      <c r="DZ38">
        <v>1</v>
      </c>
      <c r="EA38">
        <f t="shared" si="30"/>
        <v>0.32467532467532467</v>
      </c>
      <c r="EF38" s="28" t="s">
        <v>715</v>
      </c>
      <c r="EG38" s="28" t="s">
        <v>364</v>
      </c>
      <c r="EH38" s="28">
        <v>23</v>
      </c>
      <c r="EI38" s="28">
        <f>EH38/197*100</f>
        <v>11.6751269035533</v>
      </c>
      <c r="EJ38" s="28"/>
      <c r="EK38" s="28">
        <v>15</v>
      </c>
      <c r="EL38" s="28">
        <f>EK38/145*100</f>
        <v>10.344827586206897</v>
      </c>
      <c r="EM38" s="28"/>
      <c r="EN38" s="28">
        <v>40</v>
      </c>
      <c r="EO38" s="28">
        <f t="shared" si="31"/>
        <v>24.096385542168676</v>
      </c>
      <c r="EP38" s="28"/>
      <c r="EQ38" s="28">
        <v>7</v>
      </c>
      <c r="ER38">
        <f t="shared" si="32"/>
        <v>7.0000000000000009</v>
      </c>
    </row>
    <row r="39" spans="7:148" x14ac:dyDescent="0.25">
      <c r="G39" s="36" t="s">
        <v>715</v>
      </c>
      <c r="H39" s="1" t="s">
        <v>56</v>
      </c>
      <c r="I39">
        <v>3</v>
      </c>
      <c r="J39">
        <f t="shared" si="3"/>
        <v>0.31746031746031744</v>
      </c>
      <c r="M39" s="9" t="s">
        <v>715</v>
      </c>
      <c r="N39" s="9" t="s">
        <v>102</v>
      </c>
      <c r="O39" s="9">
        <v>4</v>
      </c>
      <c r="P39" s="9">
        <f t="shared" si="4"/>
        <v>0.86393088552915775</v>
      </c>
      <c r="Q39" s="9"/>
      <c r="R39" s="9">
        <v>0</v>
      </c>
      <c r="S39" s="9">
        <f t="shared" si="5"/>
        <v>0</v>
      </c>
      <c r="T39" s="9"/>
      <c r="U39" s="9">
        <v>0</v>
      </c>
      <c r="V39" s="9">
        <f t="shared" si="6"/>
        <v>0</v>
      </c>
      <c r="W39" s="9"/>
      <c r="X39" s="9">
        <v>0</v>
      </c>
      <c r="Y39">
        <f t="shared" si="7"/>
        <v>0</v>
      </c>
      <c r="AC39" s="36" t="s">
        <v>715</v>
      </c>
      <c r="AD39" s="26" t="s">
        <v>41</v>
      </c>
      <c r="AE39">
        <v>1</v>
      </c>
      <c r="AF39">
        <f t="shared" si="0"/>
        <v>0.36101083032490977</v>
      </c>
      <c r="AH39">
        <v>1</v>
      </c>
      <c r="AI39">
        <f t="shared" si="8"/>
        <v>0.52356020942408377</v>
      </c>
      <c r="AK39">
        <v>4</v>
      </c>
      <c r="AL39">
        <f t="shared" si="9"/>
        <v>1.932367149758454</v>
      </c>
      <c r="AN39">
        <v>17</v>
      </c>
      <c r="AO39">
        <f t="shared" si="10"/>
        <v>9.4444444444444446</v>
      </c>
      <c r="AS39" t="s">
        <v>576</v>
      </c>
      <c r="AT39" s="27" t="s">
        <v>653</v>
      </c>
      <c r="AU39" s="9">
        <v>1</v>
      </c>
      <c r="AV39">
        <f t="shared" si="11"/>
        <v>3.6670333700036667E-2</v>
      </c>
      <c r="AY39" s="36" t="s">
        <v>713</v>
      </c>
      <c r="AZ39" t="s">
        <v>246</v>
      </c>
      <c r="BA39">
        <v>0</v>
      </c>
      <c r="BB39">
        <f t="shared" si="12"/>
        <v>0</v>
      </c>
      <c r="BD39">
        <v>0</v>
      </c>
      <c r="BE39">
        <f t="shared" si="13"/>
        <v>0</v>
      </c>
      <c r="BG39">
        <v>2</v>
      </c>
      <c r="BH39">
        <f t="shared" si="14"/>
        <v>0.45454545454545453</v>
      </c>
      <c r="BJ39">
        <v>0</v>
      </c>
      <c r="BK39">
        <f t="shared" si="15"/>
        <v>0</v>
      </c>
      <c r="BO39" s="36" t="s">
        <v>715</v>
      </c>
      <c r="BP39" s="1" t="s">
        <v>20</v>
      </c>
      <c r="BQ39">
        <v>14</v>
      </c>
      <c r="BR39">
        <f t="shared" si="33"/>
        <v>0.40756914119359533</v>
      </c>
      <c r="BT39">
        <v>27</v>
      </c>
      <c r="BU39">
        <f t="shared" si="16"/>
        <v>8.7378640776699026</v>
      </c>
      <c r="BW39">
        <v>10</v>
      </c>
      <c r="BX39">
        <f t="shared" si="17"/>
        <v>0.62073246430788331</v>
      </c>
      <c r="BZ39">
        <v>10</v>
      </c>
      <c r="CA39">
        <f t="shared" si="18"/>
        <v>4.5045045045045047</v>
      </c>
      <c r="CE39" s="36" t="s">
        <v>713</v>
      </c>
      <c r="CF39" s="1" t="s">
        <v>290</v>
      </c>
      <c r="CG39">
        <v>1</v>
      </c>
      <c r="CH39">
        <f t="shared" si="19"/>
        <v>0.43668122270742354</v>
      </c>
      <c r="CJ39">
        <v>0</v>
      </c>
      <c r="CK39">
        <f t="shared" si="20"/>
        <v>0</v>
      </c>
      <c r="CM39">
        <v>0</v>
      </c>
      <c r="CN39">
        <f t="shared" si="21"/>
        <v>0</v>
      </c>
      <c r="CP39">
        <v>0</v>
      </c>
      <c r="CQ39">
        <f t="shared" si="22"/>
        <v>0</v>
      </c>
      <c r="CW39">
        <f>SUM(CW3:CW38)</f>
        <v>780</v>
      </c>
      <c r="CX39">
        <f>SUM(CX3:CX38)</f>
        <v>99.999999999999986</v>
      </c>
      <c r="DB39" s="36" t="s">
        <v>715</v>
      </c>
      <c r="DC39" t="s">
        <v>249</v>
      </c>
      <c r="DD39">
        <v>1</v>
      </c>
      <c r="DE39">
        <f t="shared" si="24"/>
        <v>0.84033613445378152</v>
      </c>
      <c r="DG39">
        <v>2</v>
      </c>
      <c r="DH39">
        <f t="shared" si="25"/>
        <v>1.4388489208633095</v>
      </c>
      <c r="DJ39">
        <v>14</v>
      </c>
      <c r="DK39">
        <f t="shared" si="26"/>
        <v>3.5532994923857872</v>
      </c>
      <c r="DM39">
        <v>0</v>
      </c>
      <c r="DN39">
        <f t="shared" si="27"/>
        <v>0</v>
      </c>
      <c r="DR39" s="36" t="s">
        <v>715</v>
      </c>
      <c r="DS39" t="s">
        <v>391</v>
      </c>
      <c r="DT39">
        <v>0</v>
      </c>
      <c r="DU39">
        <f t="shared" si="28"/>
        <v>0</v>
      </c>
      <c r="DW39">
        <v>0</v>
      </c>
      <c r="DX39">
        <f t="shared" si="29"/>
        <v>0</v>
      </c>
      <c r="DZ39">
        <v>2</v>
      </c>
      <c r="EA39">
        <f t="shared" si="30"/>
        <v>0.64935064935064934</v>
      </c>
      <c r="EF39" s="28" t="s">
        <v>715</v>
      </c>
      <c r="EG39" s="28" t="s">
        <v>382</v>
      </c>
      <c r="EH39" s="28">
        <v>0</v>
      </c>
      <c r="EI39" s="28">
        <f>EH39/197*100</f>
        <v>0</v>
      </c>
      <c r="EJ39" s="28"/>
      <c r="EK39" s="28">
        <v>0</v>
      </c>
      <c r="EL39" s="28">
        <f>EK39/145*100</f>
        <v>0</v>
      </c>
      <c r="EM39" s="28"/>
      <c r="EN39" s="28">
        <v>45</v>
      </c>
      <c r="EO39" s="28">
        <f t="shared" si="31"/>
        <v>27.108433734939759</v>
      </c>
      <c r="EP39" s="28"/>
      <c r="EQ39" s="28">
        <v>0</v>
      </c>
      <c r="ER39">
        <f t="shared" si="32"/>
        <v>0</v>
      </c>
    </row>
    <row r="40" spans="7:148" x14ac:dyDescent="0.25">
      <c r="G40" s="36" t="s">
        <v>715</v>
      </c>
      <c r="H40" s="1" t="s">
        <v>61</v>
      </c>
      <c r="I40">
        <v>10</v>
      </c>
      <c r="J40">
        <f t="shared" si="3"/>
        <v>1.0582010582010581</v>
      </c>
      <c r="M40" s="9" t="s">
        <v>715</v>
      </c>
      <c r="N40" s="9" t="s">
        <v>203</v>
      </c>
      <c r="O40" s="9">
        <v>2</v>
      </c>
      <c r="P40" s="9">
        <f t="shared" si="4"/>
        <v>0.43196544276457888</v>
      </c>
      <c r="Q40" s="9"/>
      <c r="R40" s="9">
        <v>0</v>
      </c>
      <c r="S40" s="9">
        <f t="shared" si="5"/>
        <v>0</v>
      </c>
      <c r="T40" s="9"/>
      <c r="U40" s="9">
        <v>0</v>
      </c>
      <c r="V40" s="9">
        <f t="shared" si="6"/>
        <v>0</v>
      </c>
      <c r="W40" s="9"/>
      <c r="X40" s="9">
        <v>0</v>
      </c>
      <c r="Y40">
        <f t="shared" si="7"/>
        <v>0</v>
      </c>
      <c r="AC40" s="36" t="s">
        <v>715</v>
      </c>
      <c r="AD40" s="26" t="s">
        <v>145</v>
      </c>
      <c r="AE40">
        <v>7</v>
      </c>
      <c r="AF40">
        <f t="shared" si="0"/>
        <v>2.5270758122743682</v>
      </c>
      <c r="AH40">
        <v>0</v>
      </c>
      <c r="AI40">
        <f t="shared" si="8"/>
        <v>0</v>
      </c>
      <c r="AK40">
        <v>0</v>
      </c>
      <c r="AL40">
        <f t="shared" si="9"/>
        <v>0</v>
      </c>
      <c r="AN40">
        <v>0</v>
      </c>
      <c r="AO40">
        <f t="shared" si="10"/>
        <v>0</v>
      </c>
      <c r="AS40" t="s">
        <v>715</v>
      </c>
      <c r="AT40" s="27" t="s">
        <v>629</v>
      </c>
      <c r="AU40" s="9">
        <v>41</v>
      </c>
      <c r="AV40">
        <f t="shared" si="11"/>
        <v>1.5034836817015034</v>
      </c>
      <c r="AY40" t="s">
        <v>715</v>
      </c>
      <c r="AZ40" t="s">
        <v>162</v>
      </c>
      <c r="BA40">
        <v>1350</v>
      </c>
      <c r="BB40">
        <f t="shared" si="12"/>
        <v>47.485051002462185</v>
      </c>
      <c r="BD40">
        <v>10</v>
      </c>
      <c r="BE40">
        <f t="shared" si="13"/>
        <v>0.65146579804560267</v>
      </c>
      <c r="BG40">
        <v>30</v>
      </c>
      <c r="BH40">
        <f t="shared" si="14"/>
        <v>6.8181818181818175</v>
      </c>
      <c r="BJ40">
        <v>0</v>
      </c>
      <c r="BK40">
        <f t="shared" si="15"/>
        <v>0</v>
      </c>
      <c r="BO40" s="36" t="s">
        <v>715</v>
      </c>
      <c r="BP40" s="1" t="s">
        <v>172</v>
      </c>
      <c r="BQ40">
        <v>2</v>
      </c>
      <c r="BR40">
        <f t="shared" si="33"/>
        <v>5.8224163027656484E-2</v>
      </c>
      <c r="BT40">
        <v>0</v>
      </c>
      <c r="BU40">
        <f t="shared" si="16"/>
        <v>0</v>
      </c>
      <c r="BW40">
        <v>4</v>
      </c>
      <c r="BX40">
        <f t="shared" si="17"/>
        <v>0.24829298572315331</v>
      </c>
      <c r="BZ40">
        <v>9</v>
      </c>
      <c r="CA40">
        <f t="shared" si="18"/>
        <v>4.0540540540540544</v>
      </c>
      <c r="CE40" s="36" t="s">
        <v>713</v>
      </c>
      <c r="CF40" s="1" t="s">
        <v>291</v>
      </c>
      <c r="CG40">
        <v>0</v>
      </c>
      <c r="CH40">
        <f t="shared" si="19"/>
        <v>0</v>
      </c>
      <c r="CJ40">
        <v>1</v>
      </c>
      <c r="CK40">
        <f t="shared" si="20"/>
        <v>0.22371364653243847</v>
      </c>
      <c r="CM40">
        <v>0</v>
      </c>
      <c r="CN40">
        <f t="shared" si="21"/>
        <v>0</v>
      </c>
      <c r="CP40">
        <v>4</v>
      </c>
      <c r="CQ40">
        <f t="shared" si="22"/>
        <v>0.15273004963726614</v>
      </c>
      <c r="DB40" s="36" t="s">
        <v>715</v>
      </c>
      <c r="DC40" t="s">
        <v>368</v>
      </c>
      <c r="DD40">
        <v>0</v>
      </c>
      <c r="DE40">
        <f t="shared" si="24"/>
        <v>0</v>
      </c>
      <c r="DG40">
        <v>0</v>
      </c>
      <c r="DH40">
        <f t="shared" si="25"/>
        <v>0</v>
      </c>
      <c r="DJ40">
        <v>10</v>
      </c>
      <c r="DK40">
        <f t="shared" si="26"/>
        <v>2.5380710659898478</v>
      </c>
      <c r="DM40">
        <v>0</v>
      </c>
      <c r="DN40">
        <f t="shared" si="27"/>
        <v>0</v>
      </c>
      <c r="DR40" t="s">
        <v>321</v>
      </c>
      <c r="DS40" t="s">
        <v>276</v>
      </c>
      <c r="DT40">
        <v>11</v>
      </c>
      <c r="DU40">
        <f t="shared" si="28"/>
        <v>6.5868263473053901</v>
      </c>
      <c r="DW40">
        <v>51</v>
      </c>
      <c r="DX40">
        <f t="shared" si="29"/>
        <v>19.318181818181817</v>
      </c>
      <c r="DZ40">
        <v>20</v>
      </c>
      <c r="EA40">
        <f t="shared" si="30"/>
        <v>6.4935064935064926</v>
      </c>
      <c r="EF40" s="28" t="s">
        <v>715</v>
      </c>
      <c r="EG40" s="28" t="s">
        <v>399</v>
      </c>
      <c r="EH40" s="28">
        <v>1</v>
      </c>
      <c r="EI40" s="28">
        <f>EH40/197*100</f>
        <v>0.50761421319796951</v>
      </c>
      <c r="EJ40" s="28"/>
      <c r="EK40" s="28">
        <v>1</v>
      </c>
      <c r="EL40" s="28">
        <f>EK40/145*100</f>
        <v>0.68965517241379315</v>
      </c>
      <c r="EM40" s="28"/>
      <c r="EN40" s="28">
        <v>1</v>
      </c>
      <c r="EO40" s="28">
        <f t="shared" si="31"/>
        <v>0.60240963855421692</v>
      </c>
      <c r="EP40" s="28"/>
      <c r="EQ40" s="28">
        <v>0</v>
      </c>
      <c r="ER40">
        <f t="shared" si="32"/>
        <v>0</v>
      </c>
    </row>
    <row r="41" spans="7:148" x14ac:dyDescent="0.25">
      <c r="G41" s="36" t="s">
        <v>715</v>
      </c>
      <c r="H41" s="1" t="s">
        <v>63</v>
      </c>
      <c r="I41">
        <v>25</v>
      </c>
      <c r="J41">
        <f t="shared" si="3"/>
        <v>2.6455026455026456</v>
      </c>
      <c r="M41" s="9" t="s">
        <v>715</v>
      </c>
      <c r="N41" s="26" t="s">
        <v>206</v>
      </c>
      <c r="O41" s="9">
        <v>7</v>
      </c>
      <c r="P41" s="9">
        <f t="shared" si="4"/>
        <v>1.5118790496760259</v>
      </c>
      <c r="Q41" s="9"/>
      <c r="R41" s="9">
        <v>0</v>
      </c>
      <c r="S41" s="9">
        <f t="shared" si="5"/>
        <v>0</v>
      </c>
      <c r="T41" s="9"/>
      <c r="U41" s="9">
        <v>0</v>
      </c>
      <c r="V41" s="9">
        <f t="shared" si="6"/>
        <v>0</v>
      </c>
      <c r="W41" s="9"/>
      <c r="X41" s="9">
        <v>0</v>
      </c>
      <c r="Y41">
        <f t="shared" si="7"/>
        <v>0</v>
      </c>
      <c r="AC41" s="36" t="s">
        <v>715</v>
      </c>
      <c r="AD41" s="26" t="s">
        <v>38</v>
      </c>
      <c r="AE41">
        <v>6</v>
      </c>
      <c r="AF41">
        <f t="shared" si="0"/>
        <v>2.1660649819494582</v>
      </c>
      <c r="AH41">
        <v>2</v>
      </c>
      <c r="AI41">
        <f t="shared" si="8"/>
        <v>1.0471204188481675</v>
      </c>
      <c r="AK41">
        <v>0</v>
      </c>
      <c r="AL41">
        <f t="shared" si="9"/>
        <v>0</v>
      </c>
      <c r="AN41">
        <v>3</v>
      </c>
      <c r="AO41">
        <f t="shared" si="10"/>
        <v>1.6666666666666667</v>
      </c>
      <c r="AS41" s="36" t="s">
        <v>715</v>
      </c>
      <c r="AT41" s="27" t="s">
        <v>636</v>
      </c>
      <c r="AU41" s="9">
        <v>15</v>
      </c>
      <c r="AV41">
        <f t="shared" si="11"/>
        <v>0.55005500550055009</v>
      </c>
      <c r="AY41" s="36" t="s">
        <v>715</v>
      </c>
      <c r="AZ41" t="s">
        <v>84</v>
      </c>
      <c r="BA41">
        <v>440</v>
      </c>
      <c r="BB41">
        <f t="shared" si="12"/>
        <v>15.476609215617307</v>
      </c>
      <c r="BD41">
        <v>50</v>
      </c>
      <c r="BE41">
        <f t="shared" si="13"/>
        <v>3.2573289902280131</v>
      </c>
      <c r="BG41">
        <v>61</v>
      </c>
      <c r="BH41">
        <f t="shared" si="14"/>
        <v>13.863636363636363</v>
      </c>
      <c r="BJ41">
        <v>75</v>
      </c>
      <c r="BK41">
        <f t="shared" si="15"/>
        <v>25.510204081632654</v>
      </c>
      <c r="BO41" s="36" t="s">
        <v>715</v>
      </c>
      <c r="BP41" t="s">
        <v>225</v>
      </c>
      <c r="BQ41">
        <v>2</v>
      </c>
      <c r="BR41">
        <f t="shared" si="33"/>
        <v>5.8224163027656484E-2</v>
      </c>
      <c r="BT41">
        <v>10</v>
      </c>
      <c r="BU41">
        <f t="shared" si="16"/>
        <v>3.2362459546925564</v>
      </c>
      <c r="BW41">
        <v>0</v>
      </c>
      <c r="BX41">
        <f t="shared" si="17"/>
        <v>0</v>
      </c>
      <c r="BZ41">
        <v>15</v>
      </c>
      <c r="CA41">
        <f t="shared" si="18"/>
        <v>6.756756756756757</v>
      </c>
      <c r="CE41" s="36" t="s">
        <v>713</v>
      </c>
      <c r="CF41" t="s">
        <v>293</v>
      </c>
      <c r="CG41">
        <v>0</v>
      </c>
      <c r="CH41">
        <f t="shared" si="19"/>
        <v>0</v>
      </c>
      <c r="CJ41">
        <v>1</v>
      </c>
      <c r="CK41">
        <f t="shared" si="20"/>
        <v>0.22371364653243847</v>
      </c>
      <c r="CM41">
        <v>0</v>
      </c>
      <c r="CN41">
        <f t="shared" si="21"/>
        <v>0</v>
      </c>
      <c r="CP41">
        <v>0</v>
      </c>
      <c r="CQ41">
        <f t="shared" si="22"/>
        <v>0</v>
      </c>
      <c r="DB41" t="s">
        <v>321</v>
      </c>
      <c r="DC41" t="s">
        <v>276</v>
      </c>
      <c r="DD41">
        <v>0</v>
      </c>
      <c r="DE41">
        <f t="shared" si="24"/>
        <v>0</v>
      </c>
      <c r="DG41">
        <v>1</v>
      </c>
      <c r="DH41">
        <f t="shared" si="25"/>
        <v>0.71942446043165476</v>
      </c>
      <c r="DJ41">
        <v>10</v>
      </c>
      <c r="DK41">
        <f t="shared" si="26"/>
        <v>2.5380710659898478</v>
      </c>
      <c r="DM41">
        <v>0</v>
      </c>
      <c r="DN41">
        <f t="shared" si="27"/>
        <v>0</v>
      </c>
      <c r="DR41" t="s">
        <v>325</v>
      </c>
      <c r="DS41" t="s">
        <v>254</v>
      </c>
      <c r="DT41">
        <v>1</v>
      </c>
      <c r="DU41">
        <f t="shared" si="28"/>
        <v>0.5988023952095809</v>
      </c>
      <c r="DW41">
        <v>6</v>
      </c>
      <c r="DX41">
        <f t="shared" si="29"/>
        <v>2.2727272727272729</v>
      </c>
      <c r="DZ41">
        <v>8</v>
      </c>
      <c r="EA41">
        <f t="shared" si="30"/>
        <v>2.5974025974025974</v>
      </c>
      <c r="EF41" s="28" t="s">
        <v>715</v>
      </c>
      <c r="EG41" s="28" t="s">
        <v>391</v>
      </c>
      <c r="EH41" s="28">
        <v>3</v>
      </c>
      <c r="EI41" s="28">
        <f>EH41/197*100</f>
        <v>1.5228426395939088</v>
      </c>
      <c r="EJ41" s="28"/>
      <c r="EK41" s="28">
        <v>1</v>
      </c>
      <c r="EL41" s="28">
        <f>EK41/145*100</f>
        <v>0.68965517241379315</v>
      </c>
      <c r="EM41" s="28"/>
      <c r="EN41" s="28">
        <v>0</v>
      </c>
      <c r="EO41" s="28">
        <f t="shared" si="31"/>
        <v>0</v>
      </c>
      <c r="EP41" s="28"/>
      <c r="EQ41" s="28">
        <v>0</v>
      </c>
      <c r="ER41">
        <f t="shared" si="32"/>
        <v>0</v>
      </c>
    </row>
    <row r="42" spans="7:148" x14ac:dyDescent="0.25">
      <c r="G42" s="36" t="s">
        <v>715</v>
      </c>
      <c r="H42" s="1" t="s">
        <v>69</v>
      </c>
      <c r="I42">
        <v>2</v>
      </c>
      <c r="J42">
        <f t="shared" si="3"/>
        <v>0.21164021164021166</v>
      </c>
      <c r="M42" s="9" t="s">
        <v>715</v>
      </c>
      <c r="N42" s="26" t="s">
        <v>207</v>
      </c>
      <c r="O42" s="9">
        <v>1</v>
      </c>
      <c r="P42" s="9">
        <f t="shared" si="4"/>
        <v>0.21598272138228944</v>
      </c>
      <c r="Q42" s="9"/>
      <c r="R42" s="9">
        <v>0</v>
      </c>
      <c r="S42" s="9">
        <f t="shared" si="5"/>
        <v>0</v>
      </c>
      <c r="T42" s="9"/>
      <c r="U42" s="9">
        <v>0</v>
      </c>
      <c r="V42" s="9">
        <f t="shared" si="6"/>
        <v>0</v>
      </c>
      <c r="W42" s="9"/>
      <c r="X42" s="9">
        <v>0</v>
      </c>
      <c r="Y42">
        <f t="shared" si="7"/>
        <v>0</v>
      </c>
      <c r="AC42" s="36" t="s">
        <v>715</v>
      </c>
      <c r="AD42" s="26" t="s">
        <v>149</v>
      </c>
      <c r="AE42">
        <v>20</v>
      </c>
      <c r="AF42">
        <f t="shared" si="0"/>
        <v>7.2202166064981945</v>
      </c>
      <c r="AH42">
        <v>20</v>
      </c>
      <c r="AI42">
        <f t="shared" si="8"/>
        <v>10.471204188481675</v>
      </c>
      <c r="AK42">
        <v>35</v>
      </c>
      <c r="AL42">
        <f t="shared" si="9"/>
        <v>16.908212560386474</v>
      </c>
      <c r="AN42">
        <v>0</v>
      </c>
      <c r="AO42">
        <f t="shared" si="10"/>
        <v>0</v>
      </c>
      <c r="AS42" s="36" t="s">
        <v>715</v>
      </c>
      <c r="AT42" s="27" t="s">
        <v>638</v>
      </c>
      <c r="AU42" s="27">
        <v>18</v>
      </c>
      <c r="AV42">
        <f t="shared" si="11"/>
        <v>0.66006600660066006</v>
      </c>
      <c r="AY42" s="36" t="s">
        <v>715</v>
      </c>
      <c r="AZ42" t="s">
        <v>224</v>
      </c>
      <c r="BA42">
        <v>0</v>
      </c>
      <c r="BB42">
        <f t="shared" si="12"/>
        <v>0</v>
      </c>
      <c r="BD42">
        <v>2</v>
      </c>
      <c r="BE42">
        <f t="shared" si="13"/>
        <v>0.13029315960912052</v>
      </c>
      <c r="BG42">
        <v>1</v>
      </c>
      <c r="BH42">
        <f t="shared" si="14"/>
        <v>0.22727272727272727</v>
      </c>
      <c r="BJ42">
        <v>0</v>
      </c>
      <c r="BK42">
        <f t="shared" si="15"/>
        <v>0</v>
      </c>
      <c r="BO42" s="36" t="s">
        <v>715</v>
      </c>
      <c r="BP42" t="s">
        <v>226</v>
      </c>
      <c r="BQ42">
        <v>3</v>
      </c>
      <c r="BR42">
        <f t="shared" si="33"/>
        <v>8.7336244541484712E-2</v>
      </c>
      <c r="BT42">
        <v>7</v>
      </c>
      <c r="BU42">
        <f t="shared" si="16"/>
        <v>2.2653721682847898</v>
      </c>
      <c r="BW42">
        <v>1</v>
      </c>
      <c r="BX42">
        <f t="shared" si="17"/>
        <v>6.2073246430788327E-2</v>
      </c>
      <c r="BZ42">
        <v>2</v>
      </c>
      <c r="CA42">
        <f t="shared" si="18"/>
        <v>0.90090090090090091</v>
      </c>
      <c r="CE42" s="36" t="s">
        <v>713</v>
      </c>
      <c r="CF42" s="1" t="s">
        <v>170</v>
      </c>
      <c r="CG42">
        <v>0</v>
      </c>
      <c r="CH42">
        <f t="shared" si="19"/>
        <v>0</v>
      </c>
      <c r="CJ42">
        <v>1</v>
      </c>
      <c r="CK42">
        <f t="shared" si="20"/>
        <v>0.22371364653243847</v>
      </c>
      <c r="CM42">
        <v>5</v>
      </c>
      <c r="CN42">
        <f t="shared" si="21"/>
        <v>0.18705574261129815</v>
      </c>
      <c r="CP42">
        <v>0</v>
      </c>
      <c r="CQ42">
        <f t="shared" si="22"/>
        <v>0</v>
      </c>
      <c r="DB42" t="s">
        <v>325</v>
      </c>
      <c r="DC42" t="s">
        <v>254</v>
      </c>
      <c r="DD42">
        <v>0</v>
      </c>
      <c r="DE42">
        <f t="shared" si="24"/>
        <v>0</v>
      </c>
      <c r="DG42">
        <v>0</v>
      </c>
      <c r="DH42">
        <f t="shared" si="25"/>
        <v>0</v>
      </c>
      <c r="DJ42">
        <v>1</v>
      </c>
      <c r="DK42">
        <f t="shared" si="26"/>
        <v>0.25380710659898476</v>
      </c>
      <c r="DM42">
        <v>0</v>
      </c>
      <c r="DN42">
        <f t="shared" si="27"/>
        <v>0</v>
      </c>
      <c r="DR42" t="s">
        <v>568</v>
      </c>
      <c r="DS42" t="s">
        <v>378</v>
      </c>
      <c r="DT42">
        <v>0</v>
      </c>
      <c r="DU42">
        <f t="shared" si="28"/>
        <v>0</v>
      </c>
      <c r="DW42">
        <v>1</v>
      </c>
      <c r="DX42">
        <f t="shared" si="29"/>
        <v>0.37878787878787878</v>
      </c>
      <c r="DZ42">
        <v>0</v>
      </c>
      <c r="EA42">
        <f t="shared" si="30"/>
        <v>0</v>
      </c>
      <c r="EF42" s="28" t="s">
        <v>715</v>
      </c>
      <c r="EG42" s="28" t="s">
        <v>394</v>
      </c>
      <c r="EH42" s="28">
        <v>4</v>
      </c>
      <c r="EI42" s="28">
        <f>EH42/197*100</f>
        <v>2.030456852791878</v>
      </c>
      <c r="EJ42" s="28"/>
      <c r="EK42" s="28">
        <v>4</v>
      </c>
      <c r="EL42" s="28">
        <f>EK42/145*100</f>
        <v>2.7586206896551726</v>
      </c>
      <c r="EM42" s="28"/>
      <c r="EN42" s="28">
        <v>1</v>
      </c>
      <c r="EO42" s="28">
        <f t="shared" si="31"/>
        <v>0.60240963855421692</v>
      </c>
      <c r="EP42" s="28"/>
      <c r="EQ42" s="28">
        <v>0</v>
      </c>
      <c r="ER42">
        <f t="shared" si="32"/>
        <v>0</v>
      </c>
    </row>
    <row r="43" spans="7:148" x14ac:dyDescent="0.25">
      <c r="G43" t="s">
        <v>575</v>
      </c>
      <c r="H43" t="s">
        <v>76</v>
      </c>
      <c r="I43">
        <v>16</v>
      </c>
      <c r="J43">
        <f t="shared" si="3"/>
        <v>1.6931216931216932</v>
      </c>
      <c r="M43" s="9" t="s">
        <v>715</v>
      </c>
      <c r="N43" s="27" t="s">
        <v>209</v>
      </c>
      <c r="O43" s="27">
        <v>45</v>
      </c>
      <c r="P43" s="9">
        <f t="shared" si="4"/>
        <v>9.7192224622030245</v>
      </c>
      <c r="Q43" s="27"/>
      <c r="R43" s="9">
        <v>0</v>
      </c>
      <c r="S43" s="9">
        <f t="shared" si="5"/>
        <v>0</v>
      </c>
      <c r="T43" s="9"/>
      <c r="U43" s="9">
        <v>0</v>
      </c>
      <c r="V43" s="9">
        <f t="shared" si="6"/>
        <v>0</v>
      </c>
      <c r="W43" s="9"/>
      <c r="X43" s="9">
        <v>0</v>
      </c>
      <c r="Y43">
        <f t="shared" si="7"/>
        <v>0</v>
      </c>
      <c r="AC43" s="36" t="s">
        <v>715</v>
      </c>
      <c r="AD43" s="26" t="s">
        <v>35</v>
      </c>
      <c r="AE43">
        <v>5</v>
      </c>
      <c r="AF43">
        <f t="shared" si="0"/>
        <v>1.8050541516245486</v>
      </c>
      <c r="AH43">
        <v>0</v>
      </c>
      <c r="AI43">
        <f t="shared" si="8"/>
        <v>0</v>
      </c>
      <c r="AK43">
        <v>0</v>
      </c>
      <c r="AL43">
        <f t="shared" si="9"/>
        <v>0</v>
      </c>
      <c r="AN43">
        <v>0</v>
      </c>
      <c r="AO43">
        <f t="shared" si="10"/>
        <v>0</v>
      </c>
      <c r="AS43" s="36" t="s">
        <v>715</v>
      </c>
      <c r="AT43" s="27" t="s">
        <v>644</v>
      </c>
      <c r="AU43" s="9">
        <v>3</v>
      </c>
      <c r="AV43">
        <f t="shared" si="11"/>
        <v>0.11001100110011</v>
      </c>
      <c r="AY43" s="36" t="s">
        <v>715</v>
      </c>
      <c r="AZ43" t="s">
        <v>163</v>
      </c>
      <c r="BA43">
        <v>150</v>
      </c>
      <c r="BB43">
        <f t="shared" si="12"/>
        <v>5.276116778051354</v>
      </c>
      <c r="BD43">
        <v>25</v>
      </c>
      <c r="BE43">
        <f t="shared" si="13"/>
        <v>1.6286644951140066</v>
      </c>
      <c r="BG43">
        <v>13</v>
      </c>
      <c r="BH43">
        <f t="shared" si="14"/>
        <v>2.9545454545454546</v>
      </c>
      <c r="BJ43">
        <v>0</v>
      </c>
      <c r="BK43">
        <f t="shared" si="15"/>
        <v>0</v>
      </c>
      <c r="BO43" s="36" t="s">
        <v>715</v>
      </c>
      <c r="BP43" t="s">
        <v>240</v>
      </c>
      <c r="BQ43">
        <v>25</v>
      </c>
      <c r="BR43">
        <f t="shared" si="33"/>
        <v>0.72780203784570596</v>
      </c>
      <c r="BT43">
        <v>39</v>
      </c>
      <c r="BU43">
        <f t="shared" si="16"/>
        <v>12.621359223300971</v>
      </c>
      <c r="BW43">
        <v>120</v>
      </c>
      <c r="BX43">
        <f t="shared" si="17"/>
        <v>7.4487895716945998</v>
      </c>
      <c r="BZ43">
        <v>4</v>
      </c>
      <c r="CA43">
        <f t="shared" si="18"/>
        <v>1.8018018018018018</v>
      </c>
      <c r="CE43" s="36" t="s">
        <v>713</v>
      </c>
      <c r="CF43" t="s">
        <v>298</v>
      </c>
      <c r="CG43">
        <v>0</v>
      </c>
      <c r="CH43">
        <f t="shared" si="19"/>
        <v>0</v>
      </c>
      <c r="CJ43">
        <v>0</v>
      </c>
      <c r="CK43">
        <f t="shared" si="20"/>
        <v>0</v>
      </c>
      <c r="CM43">
        <v>0</v>
      </c>
      <c r="CN43">
        <f t="shared" si="21"/>
        <v>0</v>
      </c>
      <c r="CP43">
        <v>1</v>
      </c>
      <c r="CQ43">
        <f t="shared" si="22"/>
        <v>3.8182512409316534E-2</v>
      </c>
      <c r="DB43" t="s">
        <v>568</v>
      </c>
      <c r="DC43" t="s">
        <v>67</v>
      </c>
      <c r="DD43">
        <v>0</v>
      </c>
      <c r="DE43">
        <f t="shared" si="24"/>
        <v>0</v>
      </c>
      <c r="DG43">
        <v>0</v>
      </c>
      <c r="DH43">
        <f t="shared" si="25"/>
        <v>0</v>
      </c>
      <c r="DJ43">
        <v>1</v>
      </c>
      <c r="DK43">
        <f t="shared" si="26"/>
        <v>0.25380710659898476</v>
      </c>
      <c r="DM43">
        <v>0</v>
      </c>
      <c r="DN43">
        <f t="shared" si="27"/>
        <v>0</v>
      </c>
      <c r="DR43" t="s">
        <v>568</v>
      </c>
      <c r="DS43" t="s">
        <v>387</v>
      </c>
      <c r="DT43">
        <v>1</v>
      </c>
      <c r="DU43">
        <f t="shared" si="28"/>
        <v>0.5988023952095809</v>
      </c>
      <c r="DW43">
        <v>0</v>
      </c>
      <c r="DX43">
        <f t="shared" si="29"/>
        <v>0</v>
      </c>
      <c r="DZ43">
        <v>0</v>
      </c>
      <c r="EA43">
        <f t="shared" si="30"/>
        <v>0</v>
      </c>
      <c r="EF43" s="28" t="s">
        <v>715</v>
      </c>
      <c r="EG43" s="28" t="s">
        <v>398</v>
      </c>
      <c r="EH43" s="28">
        <v>0</v>
      </c>
      <c r="EI43" s="28">
        <f>EH43/197*100</f>
        <v>0</v>
      </c>
      <c r="EJ43" s="28"/>
      <c r="EK43" s="28">
        <v>1</v>
      </c>
      <c r="EL43" s="28">
        <f>EK43/145*100</f>
        <v>0.68965517241379315</v>
      </c>
      <c r="EM43" s="28"/>
      <c r="EN43" s="28">
        <v>0</v>
      </c>
      <c r="EO43" s="28">
        <f t="shared" si="31"/>
        <v>0</v>
      </c>
      <c r="EP43" s="28"/>
      <c r="EQ43" s="28">
        <v>0</v>
      </c>
      <c r="ER43">
        <f t="shared" si="32"/>
        <v>0</v>
      </c>
    </row>
    <row r="44" spans="7:148" x14ac:dyDescent="0.25">
      <c r="G44" t="s">
        <v>568</v>
      </c>
      <c r="H44" s="1" t="s">
        <v>67</v>
      </c>
      <c r="I44">
        <v>1</v>
      </c>
      <c r="J44">
        <f t="shared" si="3"/>
        <v>0.10582010582010583</v>
      </c>
      <c r="M44" s="9" t="s">
        <v>715</v>
      </c>
      <c r="N44" s="27" t="s">
        <v>84</v>
      </c>
      <c r="O44" s="27">
        <v>0</v>
      </c>
      <c r="P44" s="9">
        <f t="shared" si="4"/>
        <v>0</v>
      </c>
      <c r="Q44" s="27"/>
      <c r="R44" s="9">
        <v>4</v>
      </c>
      <c r="S44" s="9">
        <f t="shared" si="5"/>
        <v>1.6194331983805668</v>
      </c>
      <c r="T44" s="9"/>
      <c r="U44" s="9">
        <v>0</v>
      </c>
      <c r="V44" s="9">
        <f t="shared" si="6"/>
        <v>0</v>
      </c>
      <c r="W44" s="9"/>
      <c r="X44" s="9">
        <v>0</v>
      </c>
      <c r="Y44">
        <f t="shared" si="7"/>
        <v>0</v>
      </c>
      <c r="AC44" s="36" t="s">
        <v>715</v>
      </c>
      <c r="AD44" s="26" t="s">
        <v>42</v>
      </c>
      <c r="AE44">
        <v>1</v>
      </c>
      <c r="AF44">
        <f t="shared" si="0"/>
        <v>0.36101083032490977</v>
      </c>
      <c r="AH44">
        <v>0</v>
      </c>
      <c r="AI44">
        <f t="shared" si="8"/>
        <v>0</v>
      </c>
      <c r="AK44">
        <v>0</v>
      </c>
      <c r="AL44">
        <f t="shared" si="9"/>
        <v>0</v>
      </c>
      <c r="AN44">
        <v>0</v>
      </c>
      <c r="AO44">
        <f t="shared" si="10"/>
        <v>0</v>
      </c>
      <c r="AS44" s="36" t="s">
        <v>715</v>
      </c>
      <c r="AT44" s="27" t="s">
        <v>646</v>
      </c>
      <c r="AU44" s="9">
        <v>41</v>
      </c>
      <c r="AV44">
        <f t="shared" si="11"/>
        <v>1.5034836817015034</v>
      </c>
      <c r="AY44" s="36" t="s">
        <v>715</v>
      </c>
      <c r="AZ44" t="s">
        <v>108</v>
      </c>
      <c r="BA44">
        <v>55</v>
      </c>
      <c r="BB44">
        <f t="shared" si="12"/>
        <v>1.9345761519521634</v>
      </c>
      <c r="BD44">
        <v>1200</v>
      </c>
      <c r="BE44">
        <f t="shared" si="13"/>
        <v>78.175895765472319</v>
      </c>
      <c r="BG44">
        <v>55</v>
      </c>
      <c r="BH44">
        <f t="shared" si="14"/>
        <v>12.5</v>
      </c>
      <c r="BJ44">
        <v>60</v>
      </c>
      <c r="BK44">
        <f t="shared" si="15"/>
        <v>20.408163265306122</v>
      </c>
      <c r="BO44" s="36" t="s">
        <v>715</v>
      </c>
      <c r="BP44" t="s">
        <v>236</v>
      </c>
      <c r="BQ44">
        <v>1</v>
      </c>
      <c r="BR44">
        <f t="shared" si="33"/>
        <v>2.9112081513828242E-2</v>
      </c>
      <c r="BT44">
        <v>0</v>
      </c>
      <c r="BU44">
        <f t="shared" si="16"/>
        <v>0</v>
      </c>
      <c r="BW44">
        <v>1</v>
      </c>
      <c r="BX44">
        <f t="shared" si="17"/>
        <v>6.2073246430788327E-2</v>
      </c>
      <c r="BZ44">
        <v>0</v>
      </c>
      <c r="CA44">
        <f t="shared" si="18"/>
        <v>0</v>
      </c>
      <c r="CE44" s="36" t="s">
        <v>713</v>
      </c>
      <c r="CF44" s="1" t="s">
        <v>243</v>
      </c>
      <c r="CG44">
        <v>0</v>
      </c>
      <c r="CH44">
        <f t="shared" si="19"/>
        <v>0</v>
      </c>
      <c r="CJ44">
        <v>0</v>
      </c>
      <c r="CK44">
        <f t="shared" si="20"/>
        <v>0</v>
      </c>
      <c r="CM44">
        <v>0</v>
      </c>
      <c r="CN44">
        <f t="shared" si="21"/>
        <v>0</v>
      </c>
      <c r="CP44">
        <v>3</v>
      </c>
      <c r="CQ44">
        <f t="shared" si="22"/>
        <v>0.11454753722794961</v>
      </c>
      <c r="DB44" t="s">
        <v>568</v>
      </c>
      <c r="DC44" t="s">
        <v>378</v>
      </c>
      <c r="DD44">
        <v>0</v>
      </c>
      <c r="DE44">
        <f t="shared" si="24"/>
        <v>0</v>
      </c>
      <c r="DG44">
        <v>0</v>
      </c>
      <c r="DH44">
        <f t="shared" si="25"/>
        <v>0</v>
      </c>
      <c r="DJ44">
        <v>0</v>
      </c>
      <c r="DK44">
        <f t="shared" si="26"/>
        <v>0</v>
      </c>
      <c r="DM44">
        <v>2</v>
      </c>
      <c r="DN44">
        <f t="shared" si="27"/>
        <v>1.0050251256281406</v>
      </c>
      <c r="DR44" t="s">
        <v>568</v>
      </c>
      <c r="DS44" t="s">
        <v>388</v>
      </c>
      <c r="DT44">
        <v>0</v>
      </c>
      <c r="DU44">
        <f t="shared" si="28"/>
        <v>0</v>
      </c>
      <c r="DW44">
        <v>4</v>
      </c>
      <c r="DX44">
        <f t="shared" si="29"/>
        <v>1.5151515151515151</v>
      </c>
      <c r="DZ44">
        <v>0</v>
      </c>
      <c r="EA44">
        <f t="shared" si="30"/>
        <v>0</v>
      </c>
      <c r="EF44" s="28" t="s">
        <v>325</v>
      </c>
      <c r="EG44" s="28" t="s">
        <v>254</v>
      </c>
      <c r="EH44" s="28">
        <v>8</v>
      </c>
      <c r="EI44" s="28">
        <f>EH44/197*100</f>
        <v>4.0609137055837561</v>
      </c>
      <c r="EJ44" s="28"/>
      <c r="EK44" s="28">
        <v>5</v>
      </c>
      <c r="EL44" s="28">
        <f>EK44/145*100</f>
        <v>3.4482758620689653</v>
      </c>
      <c r="EM44" s="28"/>
      <c r="EN44" s="28">
        <v>0</v>
      </c>
      <c r="EO44" s="28">
        <f t="shared" si="31"/>
        <v>0</v>
      </c>
      <c r="EP44" s="28"/>
      <c r="EQ44" s="28">
        <v>4</v>
      </c>
      <c r="ER44">
        <f t="shared" si="32"/>
        <v>4</v>
      </c>
    </row>
    <row r="45" spans="7:148" x14ac:dyDescent="0.25">
      <c r="I45">
        <f>SUM(I3:I44)</f>
        <v>945</v>
      </c>
      <c r="J45">
        <f>SUM(J3:J44)</f>
        <v>100</v>
      </c>
      <c r="M45" s="9" t="s">
        <v>715</v>
      </c>
      <c r="N45" s="27" t="s">
        <v>210</v>
      </c>
      <c r="O45" s="27">
        <v>3</v>
      </c>
      <c r="P45" s="9">
        <f t="shared" si="4"/>
        <v>0.64794816414686829</v>
      </c>
      <c r="Q45" s="27"/>
      <c r="R45" s="9">
        <v>0</v>
      </c>
      <c r="S45" s="9">
        <f t="shared" si="5"/>
        <v>0</v>
      </c>
      <c r="T45" s="9"/>
      <c r="U45" s="9">
        <v>0</v>
      </c>
      <c r="V45" s="9">
        <f t="shared" si="6"/>
        <v>0</v>
      </c>
      <c r="W45" s="9"/>
      <c r="X45" s="9">
        <v>0</v>
      </c>
      <c r="Y45">
        <f t="shared" si="7"/>
        <v>0</v>
      </c>
      <c r="AC45" s="36" t="s">
        <v>715</v>
      </c>
      <c r="AD45" s="26" t="s">
        <v>153</v>
      </c>
      <c r="AE45">
        <v>1</v>
      </c>
      <c r="AF45">
        <f t="shared" si="0"/>
        <v>0.36101083032490977</v>
      </c>
      <c r="AH45">
        <v>0</v>
      </c>
      <c r="AI45">
        <f t="shared" si="8"/>
        <v>0</v>
      </c>
      <c r="AK45">
        <v>0</v>
      </c>
      <c r="AL45">
        <f t="shared" si="9"/>
        <v>0</v>
      </c>
      <c r="AN45">
        <v>0</v>
      </c>
      <c r="AO45">
        <f t="shared" si="10"/>
        <v>0</v>
      </c>
      <c r="AS45" s="36" t="s">
        <v>715</v>
      </c>
      <c r="AT45" s="27" t="s">
        <v>652</v>
      </c>
      <c r="AU45" s="9">
        <v>116</v>
      </c>
      <c r="AV45">
        <f t="shared" si="11"/>
        <v>4.2537587092042539</v>
      </c>
      <c r="AY45" s="36" t="s">
        <v>715</v>
      </c>
      <c r="AZ45" t="s">
        <v>165</v>
      </c>
      <c r="BA45">
        <v>7</v>
      </c>
      <c r="BB45">
        <f t="shared" si="12"/>
        <v>0.24621878297572986</v>
      </c>
      <c r="BD45">
        <v>0</v>
      </c>
      <c r="BE45">
        <f t="shared" si="13"/>
        <v>0</v>
      </c>
      <c r="BG45">
        <v>6</v>
      </c>
      <c r="BH45">
        <f t="shared" si="14"/>
        <v>1.3636363636363635</v>
      </c>
      <c r="BJ45">
        <v>3</v>
      </c>
      <c r="BK45">
        <f t="shared" si="15"/>
        <v>1.0204081632653061</v>
      </c>
      <c r="BO45" s="36" t="s">
        <v>715</v>
      </c>
      <c r="BP45" s="1" t="s">
        <v>262</v>
      </c>
      <c r="BQ45">
        <v>0</v>
      </c>
      <c r="BR45">
        <f t="shared" si="33"/>
        <v>0</v>
      </c>
      <c r="BT45">
        <v>0</v>
      </c>
      <c r="BU45">
        <f t="shared" si="16"/>
        <v>0</v>
      </c>
      <c r="BW45">
        <v>243</v>
      </c>
      <c r="BX45">
        <f t="shared" si="17"/>
        <v>15.083798882681565</v>
      </c>
      <c r="BZ45">
        <v>0</v>
      </c>
      <c r="CA45">
        <f t="shared" si="18"/>
        <v>0</v>
      </c>
      <c r="CE45" s="36" t="s">
        <v>713</v>
      </c>
      <c r="CF45" t="s">
        <v>302</v>
      </c>
      <c r="CG45">
        <v>0</v>
      </c>
      <c r="CH45">
        <f t="shared" si="19"/>
        <v>0</v>
      </c>
      <c r="CJ45">
        <v>0</v>
      </c>
      <c r="CK45">
        <f t="shared" si="20"/>
        <v>0</v>
      </c>
      <c r="CM45">
        <v>0</v>
      </c>
      <c r="CN45">
        <f t="shared" si="21"/>
        <v>0</v>
      </c>
      <c r="CP45">
        <v>1</v>
      </c>
      <c r="CQ45">
        <f t="shared" si="22"/>
        <v>3.8182512409316534E-2</v>
      </c>
      <c r="DD45">
        <f>SUM(DD3:DD44)</f>
        <v>119</v>
      </c>
      <c r="DE45">
        <f t="shared" ref="DE45:DM45" si="34">SUM(DE3:DE44)</f>
        <v>99.999999999999943</v>
      </c>
      <c r="DG45">
        <f t="shared" si="34"/>
        <v>139</v>
      </c>
      <c r="DH45">
        <f t="shared" si="34"/>
        <v>99.999999999999972</v>
      </c>
      <c r="DJ45">
        <f t="shared" si="34"/>
        <v>394</v>
      </c>
      <c r="DK45">
        <f t="shared" si="34"/>
        <v>100.00000000000001</v>
      </c>
      <c r="DM45">
        <f t="shared" si="34"/>
        <v>199</v>
      </c>
      <c r="DN45">
        <f>SUM(DN3:DN44)</f>
        <v>100.00000000000003</v>
      </c>
      <c r="DR45" t="s">
        <v>568</v>
      </c>
      <c r="DS45" t="s">
        <v>218</v>
      </c>
      <c r="DT45">
        <v>0</v>
      </c>
      <c r="DU45">
        <f t="shared" si="28"/>
        <v>0</v>
      </c>
      <c r="DW45">
        <v>0</v>
      </c>
      <c r="DX45">
        <f t="shared" si="29"/>
        <v>0</v>
      </c>
      <c r="DZ45">
        <v>1</v>
      </c>
      <c r="EA45">
        <f t="shared" si="30"/>
        <v>0.32467532467532467</v>
      </c>
      <c r="EF45" s="28" t="s">
        <v>325</v>
      </c>
      <c r="EG45" s="28" t="s">
        <v>402</v>
      </c>
      <c r="EH45" s="28">
        <v>0</v>
      </c>
      <c r="EI45" s="28">
        <f>EH45/197*100</f>
        <v>0</v>
      </c>
      <c r="EJ45" s="28"/>
      <c r="EK45" s="28">
        <v>5</v>
      </c>
      <c r="EL45" s="28">
        <f>EK45/145*100</f>
        <v>3.4482758620689653</v>
      </c>
      <c r="EM45" s="28"/>
      <c r="EN45" s="28">
        <v>0</v>
      </c>
      <c r="EO45" s="28">
        <f t="shared" si="31"/>
        <v>0</v>
      </c>
      <c r="EP45" s="28"/>
      <c r="EQ45" s="28">
        <v>2</v>
      </c>
      <c r="ER45">
        <f t="shared" si="32"/>
        <v>2</v>
      </c>
    </row>
    <row r="46" spans="7:148" x14ac:dyDescent="0.25">
      <c r="M46" s="9" t="s">
        <v>715</v>
      </c>
      <c r="N46" s="9" t="s">
        <v>213</v>
      </c>
      <c r="O46" s="9">
        <v>1</v>
      </c>
      <c r="P46" s="9">
        <f t="shared" si="4"/>
        <v>0.21598272138228944</v>
      </c>
      <c r="Q46" s="9"/>
      <c r="R46" s="9">
        <v>0</v>
      </c>
      <c r="S46" s="9">
        <f t="shared" si="5"/>
        <v>0</v>
      </c>
      <c r="T46" s="9"/>
      <c r="U46" s="9">
        <v>3</v>
      </c>
      <c r="V46" s="9">
        <f t="shared" si="6"/>
        <v>1.079136690647482</v>
      </c>
      <c r="W46" s="9"/>
      <c r="X46" s="9">
        <v>0</v>
      </c>
      <c r="Y46">
        <f t="shared" si="7"/>
        <v>0</v>
      </c>
      <c r="AC46" s="36" t="s">
        <v>715</v>
      </c>
      <c r="AD46" s="26" t="s">
        <v>154</v>
      </c>
      <c r="AE46">
        <v>1</v>
      </c>
      <c r="AF46">
        <f t="shared" si="0"/>
        <v>0.36101083032490977</v>
      </c>
      <c r="AH46">
        <v>0</v>
      </c>
      <c r="AI46">
        <f t="shared" si="8"/>
        <v>0</v>
      </c>
      <c r="AK46">
        <v>0</v>
      </c>
      <c r="AL46">
        <f t="shared" si="9"/>
        <v>0</v>
      </c>
      <c r="AN46">
        <v>0</v>
      </c>
      <c r="AO46">
        <f t="shared" si="10"/>
        <v>0</v>
      </c>
      <c r="AS46" s="36" t="s">
        <v>715</v>
      </c>
      <c r="AT46" s="26" t="s">
        <v>95</v>
      </c>
      <c r="AU46" s="9">
        <v>152</v>
      </c>
      <c r="AV46">
        <f t="shared" si="11"/>
        <v>5.573890722405574</v>
      </c>
      <c r="AY46" s="36" t="s">
        <v>715</v>
      </c>
      <c r="AZ46" t="s">
        <v>167</v>
      </c>
      <c r="BA46">
        <v>8</v>
      </c>
      <c r="BB46">
        <f t="shared" si="12"/>
        <v>0.28139289482940555</v>
      </c>
      <c r="BD46">
        <v>60</v>
      </c>
      <c r="BE46">
        <f t="shared" si="13"/>
        <v>3.9087947882736152</v>
      </c>
      <c r="BG46">
        <v>30</v>
      </c>
      <c r="BH46">
        <f t="shared" si="14"/>
        <v>6.8181818181818175</v>
      </c>
      <c r="BJ46">
        <v>20</v>
      </c>
      <c r="BK46">
        <f t="shared" si="15"/>
        <v>6.8027210884353746</v>
      </c>
      <c r="BO46" s="36" t="s">
        <v>715</v>
      </c>
      <c r="BP46" t="s">
        <v>249</v>
      </c>
      <c r="BQ46">
        <v>289</v>
      </c>
      <c r="BR46">
        <f t="shared" si="33"/>
        <v>8.4133915574963609</v>
      </c>
      <c r="BT46">
        <v>28</v>
      </c>
      <c r="BU46">
        <f t="shared" si="16"/>
        <v>9.0614886731391593</v>
      </c>
      <c r="BW46">
        <v>10</v>
      </c>
      <c r="BX46">
        <f t="shared" si="17"/>
        <v>0.62073246430788331</v>
      </c>
      <c r="BZ46">
        <v>14</v>
      </c>
      <c r="CA46">
        <f t="shared" si="18"/>
        <v>6.3063063063063058</v>
      </c>
      <c r="CE46" t="s">
        <v>577</v>
      </c>
      <c r="CF46" s="1" t="s">
        <v>257</v>
      </c>
      <c r="CG46">
        <v>3</v>
      </c>
      <c r="CH46">
        <f t="shared" si="19"/>
        <v>1.3100436681222707</v>
      </c>
      <c r="CJ46">
        <v>3</v>
      </c>
      <c r="CK46">
        <f t="shared" si="20"/>
        <v>0.67114093959731547</v>
      </c>
      <c r="CM46">
        <v>0</v>
      </c>
      <c r="CN46">
        <f t="shared" si="21"/>
        <v>0</v>
      </c>
      <c r="CP46">
        <v>0</v>
      </c>
      <c r="CQ46">
        <f t="shared" si="22"/>
        <v>0</v>
      </c>
      <c r="DR46" t="s">
        <v>568</v>
      </c>
      <c r="DS46" t="s">
        <v>390</v>
      </c>
      <c r="DT46">
        <v>0</v>
      </c>
      <c r="DU46">
        <f t="shared" si="28"/>
        <v>0</v>
      </c>
      <c r="DW46">
        <v>0</v>
      </c>
      <c r="DX46">
        <f t="shared" si="29"/>
        <v>0</v>
      </c>
      <c r="DZ46">
        <v>1</v>
      </c>
      <c r="EA46">
        <f t="shared" si="30"/>
        <v>0.32467532467532467</v>
      </c>
      <c r="EF46" s="28" t="s">
        <v>568</v>
      </c>
      <c r="EG46" s="28" t="s">
        <v>259</v>
      </c>
      <c r="EH46" s="28">
        <v>0</v>
      </c>
      <c r="EI46" s="28">
        <f>EH46/197*100</f>
        <v>0</v>
      </c>
      <c r="EJ46" s="28"/>
      <c r="EK46" s="28">
        <v>0</v>
      </c>
      <c r="EL46" s="28">
        <f>EK46/145*100</f>
        <v>0</v>
      </c>
      <c r="EM46" s="28"/>
      <c r="EN46" s="28">
        <v>0</v>
      </c>
      <c r="EO46" s="28">
        <f t="shared" si="31"/>
        <v>0</v>
      </c>
      <c r="EP46" s="28"/>
      <c r="EQ46" s="28">
        <v>1</v>
      </c>
      <c r="ER46">
        <f t="shared" si="32"/>
        <v>1</v>
      </c>
    </row>
    <row r="47" spans="7:148" x14ac:dyDescent="0.25">
      <c r="M47" s="9" t="s">
        <v>316</v>
      </c>
      <c r="N47" s="9" t="s">
        <v>202</v>
      </c>
      <c r="O47" s="9">
        <v>5</v>
      </c>
      <c r="P47" s="9">
        <f t="shared" si="4"/>
        <v>1.079913606911447</v>
      </c>
      <c r="Q47" s="9"/>
      <c r="R47" s="9">
        <v>5</v>
      </c>
      <c r="S47" s="9">
        <f t="shared" si="5"/>
        <v>2.0242914979757085</v>
      </c>
      <c r="T47" s="9"/>
      <c r="U47" s="9">
        <v>0</v>
      </c>
      <c r="V47" s="9">
        <f t="shared" si="6"/>
        <v>0</v>
      </c>
      <c r="W47" s="9"/>
      <c r="X47" s="9">
        <v>0</v>
      </c>
      <c r="Y47">
        <f t="shared" si="7"/>
        <v>0</v>
      </c>
      <c r="AC47" s="36" t="s">
        <v>715</v>
      </c>
      <c r="AD47" s="26" t="s">
        <v>156</v>
      </c>
      <c r="AE47">
        <v>1</v>
      </c>
      <c r="AF47">
        <f t="shared" si="0"/>
        <v>0.36101083032490977</v>
      </c>
      <c r="AH47">
        <v>0</v>
      </c>
      <c r="AI47">
        <f t="shared" si="8"/>
        <v>0</v>
      </c>
      <c r="AK47">
        <v>0</v>
      </c>
      <c r="AL47">
        <f t="shared" si="9"/>
        <v>0</v>
      </c>
      <c r="AN47">
        <v>0</v>
      </c>
      <c r="AO47">
        <f t="shared" si="10"/>
        <v>0</v>
      </c>
      <c r="AS47" s="36" t="s">
        <v>715</v>
      </c>
      <c r="AT47" s="27" t="s">
        <v>656</v>
      </c>
      <c r="AU47" s="9">
        <v>1001</v>
      </c>
      <c r="AV47">
        <f t="shared" si="11"/>
        <v>36.707004033736709</v>
      </c>
      <c r="AY47" s="36" t="s">
        <v>715</v>
      </c>
      <c r="AZ47" s="1" t="s">
        <v>20</v>
      </c>
      <c r="BA47">
        <v>2</v>
      </c>
      <c r="BB47">
        <f t="shared" si="12"/>
        <v>7.0348223707351387E-2</v>
      </c>
      <c r="BD47">
        <v>4</v>
      </c>
      <c r="BE47">
        <f t="shared" si="13"/>
        <v>0.26058631921824105</v>
      </c>
      <c r="BG47">
        <v>2</v>
      </c>
      <c r="BH47">
        <f t="shared" si="14"/>
        <v>0.45454545454545453</v>
      </c>
      <c r="BJ47">
        <v>13</v>
      </c>
      <c r="BK47">
        <f t="shared" si="15"/>
        <v>4.4217687074829932</v>
      </c>
      <c r="BO47" s="36" t="s">
        <v>715</v>
      </c>
      <c r="BP47" s="1" t="s">
        <v>256</v>
      </c>
      <c r="BQ47">
        <v>3</v>
      </c>
      <c r="BR47">
        <f t="shared" si="33"/>
        <v>8.7336244541484712E-2</v>
      </c>
      <c r="BT47">
        <v>0</v>
      </c>
      <c r="BU47">
        <f t="shared" si="16"/>
        <v>0</v>
      </c>
      <c r="BW47">
        <v>1</v>
      </c>
      <c r="BX47">
        <f t="shared" si="17"/>
        <v>6.2073246430788327E-2</v>
      </c>
      <c r="BZ47">
        <v>0</v>
      </c>
      <c r="CA47">
        <f t="shared" si="18"/>
        <v>0</v>
      </c>
      <c r="CE47" t="s">
        <v>715</v>
      </c>
      <c r="CF47" t="s">
        <v>84</v>
      </c>
      <c r="CG47">
        <v>6</v>
      </c>
      <c r="CH47">
        <f t="shared" si="19"/>
        <v>2.6200873362445414</v>
      </c>
      <c r="CJ47">
        <v>5</v>
      </c>
      <c r="CK47">
        <f t="shared" si="20"/>
        <v>1.1185682326621924</v>
      </c>
      <c r="CM47">
        <v>10</v>
      </c>
      <c r="CN47">
        <f t="shared" si="21"/>
        <v>0.3741114852225963</v>
      </c>
      <c r="CP47">
        <v>5</v>
      </c>
      <c r="CQ47">
        <f t="shared" si="22"/>
        <v>0.19091256204658266</v>
      </c>
      <c r="DT47">
        <f>SUM(DT3:DT46)</f>
        <v>167</v>
      </c>
      <c r="DU47">
        <f t="shared" ref="DU47:EB47" si="35">SUM(DU3:DU46)</f>
        <v>99.999999999999986</v>
      </c>
      <c r="DW47">
        <f t="shared" si="35"/>
        <v>264</v>
      </c>
      <c r="DX47">
        <f t="shared" si="35"/>
        <v>99.999999999999972</v>
      </c>
      <c r="DZ47">
        <f t="shared" si="35"/>
        <v>308</v>
      </c>
      <c r="EA47">
        <f t="shared" si="35"/>
        <v>100</v>
      </c>
      <c r="EF47" s="28" t="s">
        <v>568</v>
      </c>
      <c r="EG47" s="28" t="s">
        <v>218</v>
      </c>
      <c r="EH47" s="28">
        <v>3</v>
      </c>
      <c r="EI47" s="28">
        <f>EH47/197*100</f>
        <v>1.5228426395939088</v>
      </c>
      <c r="EJ47" s="28"/>
      <c r="EK47" s="28">
        <v>0</v>
      </c>
      <c r="EL47" s="28">
        <f>EK47/145*100</f>
        <v>0</v>
      </c>
      <c r="EM47" s="28"/>
      <c r="EN47" s="28">
        <v>1</v>
      </c>
      <c r="EO47" s="28">
        <f t="shared" si="31"/>
        <v>0.60240963855421692</v>
      </c>
      <c r="EP47" s="28"/>
      <c r="EQ47" s="28">
        <v>0</v>
      </c>
      <c r="ER47">
        <f t="shared" si="32"/>
        <v>0</v>
      </c>
    </row>
    <row r="48" spans="7:148" x14ac:dyDescent="0.25">
      <c r="M48" s="9" t="s">
        <v>316</v>
      </c>
      <c r="N48" s="23" t="s">
        <v>212</v>
      </c>
      <c r="O48" s="9">
        <v>0</v>
      </c>
      <c r="P48" s="9">
        <f t="shared" si="4"/>
        <v>0</v>
      </c>
      <c r="Q48" s="9"/>
      <c r="R48" s="9">
        <v>8</v>
      </c>
      <c r="S48" s="9">
        <f t="shared" si="5"/>
        <v>3.2388663967611335</v>
      </c>
      <c r="T48" s="9"/>
      <c r="U48" s="9">
        <v>0</v>
      </c>
      <c r="V48" s="9">
        <f t="shared" si="6"/>
        <v>0</v>
      </c>
      <c r="W48" s="9"/>
      <c r="X48" s="9">
        <v>0</v>
      </c>
      <c r="Y48">
        <f t="shared" si="7"/>
        <v>0</v>
      </c>
      <c r="AC48" t="s">
        <v>319</v>
      </c>
      <c r="AD48" s="26" t="s">
        <v>138</v>
      </c>
      <c r="AE48">
        <v>2</v>
      </c>
      <c r="AF48">
        <f t="shared" si="0"/>
        <v>0.72202166064981954</v>
      </c>
      <c r="AH48">
        <v>5</v>
      </c>
      <c r="AI48">
        <f t="shared" si="8"/>
        <v>2.6178010471204187</v>
      </c>
      <c r="AK48">
        <v>0</v>
      </c>
      <c r="AL48">
        <f t="shared" si="9"/>
        <v>0</v>
      </c>
      <c r="AN48">
        <v>0</v>
      </c>
      <c r="AO48">
        <f t="shared" si="10"/>
        <v>0</v>
      </c>
      <c r="AS48" s="36" t="s">
        <v>715</v>
      </c>
      <c r="AT48" s="26" t="s">
        <v>42</v>
      </c>
      <c r="AU48" s="9">
        <v>1</v>
      </c>
      <c r="AV48">
        <f t="shared" si="11"/>
        <v>3.6670333700036667E-2</v>
      </c>
      <c r="AY48" s="36" t="s">
        <v>715</v>
      </c>
      <c r="AZ48" s="1" t="s">
        <v>172</v>
      </c>
      <c r="BA48">
        <v>1</v>
      </c>
      <c r="BB48">
        <f t="shared" si="12"/>
        <v>3.5174111853675694E-2</v>
      </c>
      <c r="BD48">
        <v>1</v>
      </c>
      <c r="BE48">
        <f t="shared" si="13"/>
        <v>6.5146579804560262E-2</v>
      </c>
      <c r="BG48">
        <v>0</v>
      </c>
      <c r="BH48">
        <f t="shared" si="14"/>
        <v>0</v>
      </c>
      <c r="BJ48">
        <v>0</v>
      </c>
      <c r="BK48">
        <f t="shared" si="15"/>
        <v>0</v>
      </c>
      <c r="BO48" s="36" t="s">
        <v>715</v>
      </c>
      <c r="BP48" s="1" t="s">
        <v>266</v>
      </c>
      <c r="BQ48">
        <v>0</v>
      </c>
      <c r="BR48">
        <f t="shared" si="33"/>
        <v>0</v>
      </c>
      <c r="BT48">
        <v>0</v>
      </c>
      <c r="BU48">
        <f t="shared" si="16"/>
        <v>0</v>
      </c>
      <c r="BW48">
        <v>1</v>
      </c>
      <c r="BX48">
        <f t="shared" si="17"/>
        <v>6.2073246430788327E-2</v>
      </c>
      <c r="BZ48">
        <v>0</v>
      </c>
      <c r="CA48">
        <f t="shared" si="18"/>
        <v>0</v>
      </c>
      <c r="CE48" s="36" t="s">
        <v>715</v>
      </c>
      <c r="CF48" t="s">
        <v>224</v>
      </c>
      <c r="CG48">
        <v>0</v>
      </c>
      <c r="CH48">
        <f t="shared" si="19"/>
        <v>0</v>
      </c>
      <c r="CJ48">
        <v>3</v>
      </c>
      <c r="CK48">
        <f t="shared" si="20"/>
        <v>0.67114093959731547</v>
      </c>
      <c r="CM48">
        <v>1</v>
      </c>
      <c r="CN48">
        <f t="shared" si="21"/>
        <v>3.741114852225963E-2</v>
      </c>
      <c r="CP48">
        <v>10</v>
      </c>
      <c r="CQ48">
        <f t="shared" si="22"/>
        <v>0.38182512409316532</v>
      </c>
      <c r="EF48" s="28"/>
      <c r="EG48" s="28"/>
      <c r="EH48" s="28">
        <f>SUM(EH3:EH47)</f>
        <v>197</v>
      </c>
      <c r="EI48" s="28">
        <f t="shared" ref="EI48:EO48" si="36">SUM(EI3:EI47)</f>
        <v>99.999999999999986</v>
      </c>
      <c r="EJ48" s="28"/>
      <c r="EK48" s="28">
        <f t="shared" si="36"/>
        <v>145</v>
      </c>
      <c r="EL48" s="28">
        <f t="shared" si="36"/>
        <v>100.00000000000001</v>
      </c>
      <c r="EM48" s="28"/>
      <c r="EN48" s="28">
        <f t="shared" si="36"/>
        <v>166</v>
      </c>
      <c r="EO48" s="28">
        <f t="shared" si="36"/>
        <v>100.00000000000001</v>
      </c>
      <c r="EP48" s="28"/>
      <c r="EQ48" s="28">
        <f>SUM(EQ3:EQ47)</f>
        <v>100</v>
      </c>
      <c r="ER48" s="28">
        <f>SUM(ER3:ER47)</f>
        <v>100</v>
      </c>
    </row>
    <row r="49" spans="13:95" x14ac:dyDescent="0.25">
      <c r="M49" s="9" t="s">
        <v>316</v>
      </c>
      <c r="N49" s="26" t="s">
        <v>214</v>
      </c>
      <c r="O49" s="9">
        <v>5</v>
      </c>
      <c r="P49" s="9">
        <f t="shared" si="4"/>
        <v>1.079913606911447</v>
      </c>
      <c r="Q49" s="9"/>
      <c r="R49" s="9">
        <v>0</v>
      </c>
      <c r="S49" s="9">
        <f t="shared" si="5"/>
        <v>0</v>
      </c>
      <c r="T49" s="9"/>
      <c r="U49" s="9">
        <v>0</v>
      </c>
      <c r="V49" s="9">
        <f t="shared" si="6"/>
        <v>0</v>
      </c>
      <c r="W49" s="9"/>
      <c r="X49" s="9">
        <v>0</v>
      </c>
      <c r="Y49">
        <f t="shared" si="7"/>
        <v>0</v>
      </c>
      <c r="AC49" t="s">
        <v>568</v>
      </c>
      <c r="AD49" s="26" t="s">
        <v>160</v>
      </c>
      <c r="AE49">
        <v>2</v>
      </c>
      <c r="AF49">
        <f t="shared" si="0"/>
        <v>0.72202166064981954</v>
      </c>
      <c r="AH49">
        <v>0</v>
      </c>
      <c r="AI49">
        <f t="shared" si="8"/>
        <v>0</v>
      </c>
      <c r="AK49">
        <v>0</v>
      </c>
      <c r="AL49">
        <f t="shared" si="9"/>
        <v>0</v>
      </c>
      <c r="AN49">
        <v>0</v>
      </c>
      <c r="AO49">
        <f t="shared" si="10"/>
        <v>0</v>
      </c>
      <c r="AS49" s="36" t="s">
        <v>715</v>
      </c>
      <c r="AT49" s="27" t="s">
        <v>658</v>
      </c>
      <c r="AU49" s="9">
        <v>1</v>
      </c>
      <c r="AV49">
        <f t="shared" si="11"/>
        <v>3.6670333700036667E-2</v>
      </c>
      <c r="AY49" s="36" t="s">
        <v>715</v>
      </c>
      <c r="AZ49" s="1" t="s">
        <v>174</v>
      </c>
      <c r="BA49">
        <v>2</v>
      </c>
      <c r="BB49">
        <f t="shared" si="12"/>
        <v>7.0348223707351387E-2</v>
      </c>
      <c r="BD49">
        <v>1</v>
      </c>
      <c r="BE49">
        <f t="shared" si="13"/>
        <v>6.5146579804560262E-2</v>
      </c>
      <c r="BG49">
        <v>0</v>
      </c>
      <c r="BH49">
        <f t="shared" si="14"/>
        <v>0</v>
      </c>
      <c r="BJ49">
        <v>0</v>
      </c>
      <c r="BK49">
        <f t="shared" si="15"/>
        <v>0</v>
      </c>
      <c r="BO49" s="36" t="s">
        <v>715</v>
      </c>
      <c r="BP49" s="1" t="s">
        <v>268</v>
      </c>
      <c r="BQ49">
        <v>0</v>
      </c>
      <c r="BR49">
        <f t="shared" si="33"/>
        <v>0</v>
      </c>
      <c r="BT49">
        <v>0</v>
      </c>
      <c r="BU49">
        <f t="shared" si="16"/>
        <v>0</v>
      </c>
      <c r="BW49">
        <v>0</v>
      </c>
      <c r="BX49">
        <f t="shared" si="17"/>
        <v>0</v>
      </c>
      <c r="BZ49">
        <v>4</v>
      </c>
      <c r="CA49">
        <f t="shared" si="18"/>
        <v>1.8018018018018018</v>
      </c>
      <c r="CE49" s="36" t="s">
        <v>715</v>
      </c>
      <c r="CF49" t="s">
        <v>163</v>
      </c>
      <c r="CG49">
        <v>1</v>
      </c>
      <c r="CH49">
        <f t="shared" si="19"/>
        <v>0.43668122270742354</v>
      </c>
      <c r="CJ49">
        <v>2</v>
      </c>
      <c r="CK49">
        <f t="shared" si="20"/>
        <v>0.44742729306487694</v>
      </c>
      <c r="CM49">
        <v>25</v>
      </c>
      <c r="CN49">
        <f t="shared" si="21"/>
        <v>0.93527871305649091</v>
      </c>
      <c r="CP49">
        <v>8</v>
      </c>
      <c r="CQ49">
        <f t="shared" si="22"/>
        <v>0.30546009927453227</v>
      </c>
    </row>
    <row r="50" spans="13:95" x14ac:dyDescent="0.25">
      <c r="M50" s="9" t="s">
        <v>568</v>
      </c>
      <c r="N50" s="9" t="s">
        <v>216</v>
      </c>
      <c r="O50" s="9">
        <v>23</v>
      </c>
      <c r="P50" s="9">
        <f t="shared" si="4"/>
        <v>4.967602591792657</v>
      </c>
      <c r="Q50" s="9"/>
      <c r="R50" s="9">
        <v>0</v>
      </c>
      <c r="S50" s="9">
        <f t="shared" si="5"/>
        <v>0</v>
      </c>
      <c r="T50" s="9"/>
      <c r="U50" s="9">
        <v>0</v>
      </c>
      <c r="V50" s="9">
        <f t="shared" si="6"/>
        <v>0</v>
      </c>
      <c r="W50" s="9"/>
      <c r="X50" s="9">
        <v>0</v>
      </c>
      <c r="Y50">
        <f t="shared" si="7"/>
        <v>0</v>
      </c>
      <c r="AE50">
        <f>SUM(AE3:AE49)</f>
        <v>277</v>
      </c>
      <c r="AF50">
        <f t="shared" ref="AF50:AN50" si="37">SUM(AF3:AF49)</f>
        <v>100</v>
      </c>
      <c r="AH50">
        <f t="shared" si="37"/>
        <v>191</v>
      </c>
      <c r="AI50">
        <f t="shared" si="37"/>
        <v>100.00000000000003</v>
      </c>
      <c r="AK50">
        <f t="shared" si="37"/>
        <v>207</v>
      </c>
      <c r="AL50">
        <f t="shared" si="37"/>
        <v>100</v>
      </c>
      <c r="AN50">
        <f t="shared" si="37"/>
        <v>180</v>
      </c>
      <c r="AO50">
        <f>AN50/180*100</f>
        <v>100</v>
      </c>
      <c r="AS50" s="36" t="s">
        <v>715</v>
      </c>
      <c r="AT50" s="26" t="s">
        <v>97</v>
      </c>
      <c r="AU50" s="9">
        <v>1</v>
      </c>
      <c r="AV50">
        <f t="shared" si="11"/>
        <v>3.6670333700036667E-2</v>
      </c>
      <c r="AY50" s="36" t="s">
        <v>715</v>
      </c>
      <c r="AZ50" t="s">
        <v>226</v>
      </c>
      <c r="BA50">
        <v>4</v>
      </c>
      <c r="BB50">
        <f t="shared" si="12"/>
        <v>0.14069644741470277</v>
      </c>
      <c r="BD50">
        <v>0</v>
      </c>
      <c r="BE50">
        <f t="shared" si="13"/>
        <v>0</v>
      </c>
      <c r="BG50">
        <v>0</v>
      </c>
      <c r="BH50">
        <f t="shared" si="14"/>
        <v>0</v>
      </c>
      <c r="BJ50">
        <v>0</v>
      </c>
      <c r="BK50">
        <f t="shared" si="15"/>
        <v>0</v>
      </c>
      <c r="BO50" t="s">
        <v>325</v>
      </c>
      <c r="BP50" t="s">
        <v>254</v>
      </c>
      <c r="BQ50">
        <v>1</v>
      </c>
      <c r="BR50">
        <f t="shared" si="33"/>
        <v>2.9112081513828242E-2</v>
      </c>
      <c r="BT50">
        <v>0</v>
      </c>
      <c r="BU50">
        <f t="shared" si="16"/>
        <v>0</v>
      </c>
      <c r="BW50">
        <v>0</v>
      </c>
      <c r="BX50">
        <f t="shared" si="17"/>
        <v>0</v>
      </c>
      <c r="BZ50">
        <v>2</v>
      </c>
      <c r="CA50">
        <f t="shared" si="18"/>
        <v>0.90090090090090091</v>
      </c>
      <c r="CE50" s="36" t="s">
        <v>715</v>
      </c>
      <c r="CF50" t="s">
        <v>297</v>
      </c>
      <c r="CG50">
        <v>4</v>
      </c>
      <c r="CH50">
        <f t="shared" si="19"/>
        <v>1.7467248908296942</v>
      </c>
      <c r="CJ50">
        <v>8</v>
      </c>
      <c r="CK50">
        <f t="shared" si="20"/>
        <v>1.7897091722595078</v>
      </c>
      <c r="CM50">
        <v>55</v>
      </c>
      <c r="CN50">
        <f t="shared" si="21"/>
        <v>2.0576131687242798</v>
      </c>
      <c r="CP50">
        <v>22</v>
      </c>
      <c r="CQ50">
        <f t="shared" si="22"/>
        <v>0.84001527300496381</v>
      </c>
    </row>
    <row r="51" spans="13:95" x14ac:dyDescent="0.25">
      <c r="M51" s="9" t="s">
        <v>568</v>
      </c>
      <c r="N51" s="26" t="s">
        <v>218</v>
      </c>
      <c r="O51" s="9">
        <v>1</v>
      </c>
      <c r="P51" s="9">
        <f t="shared" si="4"/>
        <v>0.21598272138228944</v>
      </c>
      <c r="Q51" s="9"/>
      <c r="R51" s="9">
        <v>0</v>
      </c>
      <c r="S51" s="9">
        <f t="shared" si="5"/>
        <v>0</v>
      </c>
      <c r="T51" s="9"/>
      <c r="U51" s="9">
        <v>0</v>
      </c>
      <c r="V51" s="9">
        <f t="shared" si="6"/>
        <v>0</v>
      </c>
      <c r="W51" s="9"/>
      <c r="X51" s="9">
        <v>0</v>
      </c>
      <c r="Y51">
        <f t="shared" si="7"/>
        <v>0</v>
      </c>
      <c r="AS51" s="36" t="s">
        <v>715</v>
      </c>
      <c r="AT51" s="27" t="s">
        <v>662</v>
      </c>
      <c r="AU51" s="9">
        <v>660</v>
      </c>
      <c r="AV51">
        <f t="shared" si="11"/>
        <v>24.202420242024203</v>
      </c>
      <c r="AY51" s="36" t="s">
        <v>715</v>
      </c>
      <c r="AZ51" t="s">
        <v>241</v>
      </c>
      <c r="BA51">
        <v>0</v>
      </c>
      <c r="BB51">
        <f t="shared" si="12"/>
        <v>0</v>
      </c>
      <c r="BD51">
        <v>1</v>
      </c>
      <c r="BE51">
        <f t="shared" si="13"/>
        <v>6.5146579804560262E-2</v>
      </c>
      <c r="BG51">
        <v>0</v>
      </c>
      <c r="BH51">
        <f t="shared" si="14"/>
        <v>0</v>
      </c>
      <c r="BJ51">
        <v>0</v>
      </c>
      <c r="BK51">
        <f t="shared" si="15"/>
        <v>0</v>
      </c>
      <c r="BO51" t="s">
        <v>568</v>
      </c>
      <c r="BP51" s="1" t="s">
        <v>222</v>
      </c>
      <c r="BQ51">
        <v>0</v>
      </c>
      <c r="BR51">
        <f t="shared" si="33"/>
        <v>0</v>
      </c>
      <c r="BT51">
        <v>5</v>
      </c>
      <c r="BU51">
        <f t="shared" si="16"/>
        <v>1.6181229773462782</v>
      </c>
      <c r="BW51">
        <v>0</v>
      </c>
      <c r="BX51">
        <f t="shared" si="17"/>
        <v>0</v>
      </c>
      <c r="BZ51">
        <v>0</v>
      </c>
      <c r="CA51">
        <f t="shared" si="18"/>
        <v>0</v>
      </c>
      <c r="CE51" s="36" t="s">
        <v>715</v>
      </c>
      <c r="CF51" t="s">
        <v>167</v>
      </c>
      <c r="CG51">
        <v>6</v>
      </c>
      <c r="CH51">
        <f t="shared" si="19"/>
        <v>2.6200873362445414</v>
      </c>
      <c r="CJ51">
        <v>6</v>
      </c>
      <c r="CK51">
        <f t="shared" si="20"/>
        <v>1.3422818791946309</v>
      </c>
      <c r="CM51">
        <v>6</v>
      </c>
      <c r="CN51">
        <f t="shared" si="21"/>
        <v>0.22446689113355783</v>
      </c>
      <c r="CP51">
        <v>6</v>
      </c>
      <c r="CQ51">
        <f t="shared" si="22"/>
        <v>0.22909507445589922</v>
      </c>
    </row>
    <row r="52" spans="13:95" x14ac:dyDescent="0.25">
      <c r="O52">
        <f>SUM(O3:O51)</f>
        <v>463</v>
      </c>
      <c r="P52">
        <f t="shared" ref="P52:Z52" si="38">SUM(P3:P51)</f>
        <v>99.999999999999986</v>
      </c>
      <c r="R52">
        <f t="shared" si="38"/>
        <v>247</v>
      </c>
      <c r="S52">
        <f t="shared" si="38"/>
        <v>100</v>
      </c>
      <c r="U52">
        <f t="shared" si="38"/>
        <v>278</v>
      </c>
      <c r="V52">
        <f t="shared" si="38"/>
        <v>100</v>
      </c>
      <c r="X52">
        <f t="shared" si="38"/>
        <v>102</v>
      </c>
      <c r="Y52">
        <f t="shared" si="38"/>
        <v>100</v>
      </c>
      <c r="AS52" s="36" t="s">
        <v>715</v>
      </c>
      <c r="AT52" s="27" t="s">
        <v>663</v>
      </c>
      <c r="AU52" s="9">
        <v>8</v>
      </c>
      <c r="AV52">
        <f t="shared" si="11"/>
        <v>0.29336266960029334</v>
      </c>
      <c r="AY52" s="36" t="s">
        <v>715</v>
      </c>
      <c r="AZ52" t="s">
        <v>240</v>
      </c>
      <c r="BA52">
        <v>0</v>
      </c>
      <c r="BB52">
        <f t="shared" si="12"/>
        <v>0</v>
      </c>
      <c r="BD52">
        <v>61</v>
      </c>
      <c r="BE52">
        <f t="shared" si="13"/>
        <v>3.9739413680781759</v>
      </c>
      <c r="BG52">
        <v>25</v>
      </c>
      <c r="BH52">
        <f t="shared" si="14"/>
        <v>5.6818181818181817</v>
      </c>
      <c r="BJ52">
        <v>6</v>
      </c>
      <c r="BK52">
        <f t="shared" si="15"/>
        <v>2.0408163265306123</v>
      </c>
      <c r="BO52" t="s">
        <v>568</v>
      </c>
      <c r="BP52" s="1" t="s">
        <v>261</v>
      </c>
      <c r="BQ52">
        <v>0</v>
      </c>
      <c r="BR52">
        <f t="shared" si="33"/>
        <v>0</v>
      </c>
      <c r="BT52">
        <v>1</v>
      </c>
      <c r="BU52">
        <f t="shared" si="16"/>
        <v>0.3236245954692557</v>
      </c>
      <c r="BW52">
        <v>0</v>
      </c>
      <c r="BX52">
        <f t="shared" si="17"/>
        <v>0</v>
      </c>
      <c r="BZ52">
        <v>0</v>
      </c>
      <c r="CA52">
        <f t="shared" si="18"/>
        <v>0</v>
      </c>
      <c r="CE52" s="36" t="s">
        <v>715</v>
      </c>
      <c r="CF52" s="1" t="s">
        <v>20</v>
      </c>
      <c r="CG52">
        <v>17</v>
      </c>
      <c r="CH52">
        <f t="shared" si="19"/>
        <v>7.4235807860262017</v>
      </c>
      <c r="CJ52">
        <v>35</v>
      </c>
      <c r="CK52">
        <f t="shared" si="20"/>
        <v>7.8299776286353469</v>
      </c>
      <c r="CM52">
        <v>1810</v>
      </c>
      <c r="CN52">
        <f t="shared" si="21"/>
        <v>67.714178825289935</v>
      </c>
      <c r="CP52">
        <v>1525</v>
      </c>
      <c r="CQ52">
        <f t="shared" si="22"/>
        <v>58.22833142420771</v>
      </c>
    </row>
    <row r="53" spans="13:95" x14ac:dyDescent="0.25">
      <c r="AS53" s="36" t="s">
        <v>715</v>
      </c>
      <c r="AT53" s="27" t="s">
        <v>664</v>
      </c>
      <c r="AU53" s="9">
        <v>1</v>
      </c>
      <c r="AV53">
        <f t="shared" si="11"/>
        <v>3.6670333700036667E-2</v>
      </c>
      <c r="AY53" s="36" t="s">
        <v>715</v>
      </c>
      <c r="AZ53" t="s">
        <v>237</v>
      </c>
      <c r="BA53">
        <v>0</v>
      </c>
      <c r="BB53">
        <f t="shared" si="12"/>
        <v>0</v>
      </c>
      <c r="BD53">
        <v>21</v>
      </c>
      <c r="BE53">
        <f t="shared" si="13"/>
        <v>1.3680781758957654</v>
      </c>
      <c r="BG53">
        <v>0</v>
      </c>
      <c r="BH53">
        <f t="shared" si="14"/>
        <v>0</v>
      </c>
      <c r="BJ53">
        <v>0</v>
      </c>
      <c r="BK53">
        <f t="shared" si="15"/>
        <v>0</v>
      </c>
      <c r="BO53" t="s">
        <v>568</v>
      </c>
      <c r="BP53" s="1" t="s">
        <v>258</v>
      </c>
      <c r="BQ53">
        <v>0</v>
      </c>
      <c r="BR53">
        <f t="shared" si="33"/>
        <v>0</v>
      </c>
      <c r="BT53">
        <v>1</v>
      </c>
      <c r="BU53">
        <f t="shared" si="16"/>
        <v>0.3236245954692557</v>
      </c>
      <c r="BW53">
        <v>0</v>
      </c>
      <c r="BX53">
        <f t="shared" si="17"/>
        <v>0</v>
      </c>
      <c r="BZ53">
        <v>0</v>
      </c>
      <c r="CA53">
        <f t="shared" si="18"/>
        <v>0</v>
      </c>
      <c r="CE53" s="36" t="s">
        <v>715</v>
      </c>
      <c r="CF53" t="s">
        <v>225</v>
      </c>
      <c r="CG53">
        <v>45</v>
      </c>
      <c r="CH53">
        <f t="shared" si="19"/>
        <v>19.650655021834059</v>
      </c>
      <c r="CJ53">
        <v>128</v>
      </c>
      <c r="CK53">
        <f t="shared" si="20"/>
        <v>28.635346756152124</v>
      </c>
      <c r="CM53">
        <v>615</v>
      </c>
      <c r="CN53">
        <f t="shared" si="21"/>
        <v>23.007856341189676</v>
      </c>
      <c r="CP53">
        <v>765</v>
      </c>
      <c r="CQ53">
        <f t="shared" si="22"/>
        <v>29.209621993127151</v>
      </c>
    </row>
    <row r="54" spans="13:95" x14ac:dyDescent="0.25">
      <c r="N54" s="1"/>
      <c r="AS54" s="36" t="s">
        <v>715</v>
      </c>
      <c r="AT54" s="26" t="s">
        <v>64</v>
      </c>
      <c r="AU54" s="9">
        <v>1</v>
      </c>
      <c r="AV54">
        <f t="shared" si="11"/>
        <v>3.6670333700036667E-2</v>
      </c>
      <c r="AY54" s="36" t="s">
        <v>715</v>
      </c>
      <c r="AZ54" t="s">
        <v>236</v>
      </c>
      <c r="BA54">
        <v>0</v>
      </c>
      <c r="BB54">
        <f t="shared" si="12"/>
        <v>0</v>
      </c>
      <c r="BD54">
        <v>2</v>
      </c>
      <c r="BE54">
        <f t="shared" si="13"/>
        <v>0.13029315960912052</v>
      </c>
      <c r="BG54">
        <v>1</v>
      </c>
      <c r="BH54">
        <f t="shared" si="14"/>
        <v>0.22727272727272727</v>
      </c>
      <c r="BJ54">
        <v>0</v>
      </c>
      <c r="BK54">
        <f t="shared" si="15"/>
        <v>0</v>
      </c>
      <c r="BO54" t="s">
        <v>568</v>
      </c>
      <c r="BP54" s="1" t="s">
        <v>259</v>
      </c>
      <c r="BQ54">
        <v>0</v>
      </c>
      <c r="BR54">
        <f t="shared" si="33"/>
        <v>0</v>
      </c>
      <c r="BT54">
        <v>2</v>
      </c>
      <c r="BU54">
        <f t="shared" si="16"/>
        <v>0.64724919093851141</v>
      </c>
      <c r="BW54">
        <v>0</v>
      </c>
      <c r="BX54">
        <f t="shared" si="17"/>
        <v>0</v>
      </c>
      <c r="BZ54">
        <v>0</v>
      </c>
      <c r="CA54">
        <f t="shared" si="18"/>
        <v>0</v>
      </c>
      <c r="CE54" s="36" t="s">
        <v>715</v>
      </c>
      <c r="CF54" t="s">
        <v>226</v>
      </c>
      <c r="CG54">
        <v>2</v>
      </c>
      <c r="CH54">
        <f t="shared" si="19"/>
        <v>0.87336244541484709</v>
      </c>
      <c r="CJ54">
        <v>1</v>
      </c>
      <c r="CK54">
        <f t="shared" si="20"/>
        <v>0.22371364653243847</v>
      </c>
      <c r="CM54">
        <v>0</v>
      </c>
      <c r="CN54">
        <f t="shared" si="21"/>
        <v>0</v>
      </c>
      <c r="CP54">
        <v>0</v>
      </c>
      <c r="CQ54">
        <f t="shared" si="22"/>
        <v>0</v>
      </c>
    </row>
    <row r="55" spans="13:95" x14ac:dyDescent="0.25">
      <c r="AS55" s="36" t="s">
        <v>715</v>
      </c>
      <c r="AT55" s="27" t="s">
        <v>99</v>
      </c>
      <c r="AU55" s="9">
        <v>19</v>
      </c>
      <c r="AV55">
        <f t="shared" si="11"/>
        <v>0.69673634030069675</v>
      </c>
      <c r="AY55" s="36" t="s">
        <v>715</v>
      </c>
      <c r="AZ55" t="s">
        <v>230</v>
      </c>
      <c r="BA55">
        <v>0</v>
      </c>
      <c r="BB55">
        <f t="shared" si="12"/>
        <v>0</v>
      </c>
      <c r="BD55">
        <v>4</v>
      </c>
      <c r="BE55">
        <f t="shared" si="13"/>
        <v>0.26058631921824105</v>
      </c>
      <c r="BG55">
        <v>0</v>
      </c>
      <c r="BH55">
        <f t="shared" si="14"/>
        <v>0</v>
      </c>
      <c r="BJ55">
        <v>0</v>
      </c>
      <c r="BK55">
        <f t="shared" si="15"/>
        <v>0</v>
      </c>
      <c r="BQ55">
        <f>SUM(BQ3:BQ54)</f>
        <v>3435</v>
      </c>
      <c r="BR55">
        <f t="shared" ref="BR55:BZ55" si="39">SUM(BR3:BR54)</f>
        <v>100.00000000000003</v>
      </c>
      <c r="BT55">
        <f t="shared" si="39"/>
        <v>309</v>
      </c>
      <c r="BU55">
        <f t="shared" si="39"/>
        <v>99.999999999999972</v>
      </c>
      <c r="BW55">
        <f t="shared" si="39"/>
        <v>1611</v>
      </c>
      <c r="BX55">
        <f t="shared" si="39"/>
        <v>99.999999999999986</v>
      </c>
      <c r="BZ55">
        <f t="shared" si="39"/>
        <v>222</v>
      </c>
      <c r="CA55">
        <f>SUM(CA3:CA54)</f>
        <v>100.00000000000003</v>
      </c>
      <c r="CE55" s="36" t="s">
        <v>715</v>
      </c>
      <c r="CF55" t="s">
        <v>240</v>
      </c>
      <c r="CG55">
        <v>3</v>
      </c>
      <c r="CH55">
        <f t="shared" si="19"/>
        <v>1.3100436681222707</v>
      </c>
      <c r="CJ55">
        <v>4</v>
      </c>
      <c r="CK55">
        <f t="shared" si="20"/>
        <v>0.89485458612975388</v>
      </c>
      <c r="CM55">
        <v>18</v>
      </c>
      <c r="CN55">
        <f t="shared" si="21"/>
        <v>0.67340067340067333</v>
      </c>
      <c r="CP55">
        <v>0</v>
      </c>
      <c r="CQ55">
        <f t="shared" si="22"/>
        <v>0</v>
      </c>
    </row>
    <row r="56" spans="13:95" x14ac:dyDescent="0.25">
      <c r="AS56" s="36" t="s">
        <v>715</v>
      </c>
      <c r="AT56" s="27" t="s">
        <v>671</v>
      </c>
      <c r="AU56" s="9">
        <v>5</v>
      </c>
      <c r="AV56">
        <f t="shared" si="11"/>
        <v>0.18335166850018336</v>
      </c>
      <c r="AY56" s="36" t="s">
        <v>715</v>
      </c>
      <c r="AZ56" t="s">
        <v>248</v>
      </c>
      <c r="BA56">
        <v>0</v>
      </c>
      <c r="BB56">
        <f t="shared" si="12"/>
        <v>0</v>
      </c>
      <c r="BD56">
        <v>0</v>
      </c>
      <c r="BE56">
        <f t="shared" si="13"/>
        <v>0</v>
      </c>
      <c r="BG56">
        <v>65</v>
      </c>
      <c r="BH56">
        <f t="shared" si="14"/>
        <v>14.772727272727273</v>
      </c>
      <c r="BJ56">
        <v>45</v>
      </c>
      <c r="BK56">
        <f t="shared" si="15"/>
        <v>15.306122448979592</v>
      </c>
      <c r="CE56" s="36" t="s">
        <v>715</v>
      </c>
      <c r="CF56" t="s">
        <v>236</v>
      </c>
      <c r="CG56">
        <v>0</v>
      </c>
      <c r="CH56">
        <f t="shared" si="19"/>
        <v>0</v>
      </c>
      <c r="CJ56">
        <v>1</v>
      </c>
      <c r="CK56">
        <f t="shared" si="20"/>
        <v>0.22371364653243847</v>
      </c>
      <c r="CM56">
        <v>4</v>
      </c>
      <c r="CN56">
        <f t="shared" si="21"/>
        <v>0.14964459408903852</v>
      </c>
      <c r="CP56">
        <v>0</v>
      </c>
      <c r="CQ56">
        <f t="shared" si="22"/>
        <v>0</v>
      </c>
    </row>
    <row r="57" spans="13:95" x14ac:dyDescent="0.25">
      <c r="AS57" t="s">
        <v>319</v>
      </c>
      <c r="AT57" s="27" t="s">
        <v>666</v>
      </c>
      <c r="AU57" s="9">
        <v>19</v>
      </c>
      <c r="AV57">
        <f t="shared" si="11"/>
        <v>0.69673634030069675</v>
      </c>
      <c r="AY57" s="36" t="s">
        <v>715</v>
      </c>
      <c r="AZ57" t="s">
        <v>249</v>
      </c>
      <c r="BA57">
        <v>0</v>
      </c>
      <c r="BB57">
        <f t="shared" si="12"/>
        <v>0</v>
      </c>
      <c r="BD57">
        <v>0</v>
      </c>
      <c r="BE57">
        <f t="shared" si="13"/>
        <v>0</v>
      </c>
      <c r="BG57">
        <v>3</v>
      </c>
      <c r="BH57">
        <f t="shared" si="14"/>
        <v>0.68181818181818177</v>
      </c>
      <c r="BJ57">
        <v>0</v>
      </c>
      <c r="BK57">
        <f t="shared" si="15"/>
        <v>0</v>
      </c>
      <c r="CE57" s="36" t="s">
        <v>715</v>
      </c>
      <c r="CF57" s="1" t="s">
        <v>262</v>
      </c>
      <c r="CG57">
        <v>0</v>
      </c>
      <c r="CH57">
        <f t="shared" si="19"/>
        <v>0</v>
      </c>
      <c r="CJ57">
        <v>4</v>
      </c>
      <c r="CK57">
        <f t="shared" si="20"/>
        <v>0.89485458612975388</v>
      </c>
      <c r="CM57">
        <v>0</v>
      </c>
      <c r="CN57">
        <f t="shared" si="21"/>
        <v>0</v>
      </c>
      <c r="CP57">
        <v>0</v>
      </c>
      <c r="CQ57">
        <f t="shared" si="22"/>
        <v>0</v>
      </c>
    </row>
    <row r="58" spans="13:95" x14ac:dyDescent="0.25">
      <c r="AU58">
        <f>SUM(AU3:AU57)</f>
        <v>2727</v>
      </c>
      <c r="AY58" s="36" t="s">
        <v>715</v>
      </c>
      <c r="AZ58" t="s">
        <v>153</v>
      </c>
      <c r="BA58">
        <v>0</v>
      </c>
      <c r="BB58">
        <f t="shared" si="12"/>
        <v>0</v>
      </c>
      <c r="BD58">
        <v>0</v>
      </c>
      <c r="BE58">
        <f t="shared" si="13"/>
        <v>0</v>
      </c>
      <c r="BG58">
        <v>0</v>
      </c>
      <c r="BH58">
        <f t="shared" si="14"/>
        <v>0</v>
      </c>
      <c r="BJ58">
        <v>1</v>
      </c>
      <c r="BK58">
        <f t="shared" si="15"/>
        <v>0.3401360544217687</v>
      </c>
      <c r="CE58" s="36" t="s">
        <v>715</v>
      </c>
      <c r="CF58" t="s">
        <v>249</v>
      </c>
      <c r="CG58">
        <v>0</v>
      </c>
      <c r="CH58">
        <f t="shared" si="19"/>
        <v>0</v>
      </c>
      <c r="CJ58">
        <v>0</v>
      </c>
      <c r="CK58">
        <f t="shared" si="20"/>
        <v>0</v>
      </c>
      <c r="CM58">
        <v>20</v>
      </c>
      <c r="CN58">
        <f t="shared" si="21"/>
        <v>0.74822297044519259</v>
      </c>
      <c r="CP58">
        <v>6</v>
      </c>
      <c r="CQ58">
        <f t="shared" si="22"/>
        <v>0.22909507445589922</v>
      </c>
    </row>
    <row r="59" spans="13:95" x14ac:dyDescent="0.25">
      <c r="AY59" t="s">
        <v>319</v>
      </c>
      <c r="AZ59" t="s">
        <v>166</v>
      </c>
      <c r="BA59">
        <v>4</v>
      </c>
      <c r="BB59">
        <f t="shared" si="12"/>
        <v>0.14069644741470277</v>
      </c>
      <c r="BD59">
        <v>0</v>
      </c>
      <c r="BE59">
        <f t="shared" si="13"/>
        <v>0</v>
      </c>
      <c r="BG59">
        <v>0</v>
      </c>
      <c r="BH59">
        <f t="shared" si="14"/>
        <v>0</v>
      </c>
      <c r="BJ59">
        <v>0</v>
      </c>
      <c r="BK59">
        <f t="shared" si="15"/>
        <v>0</v>
      </c>
      <c r="CE59" s="36" t="s">
        <v>715</v>
      </c>
      <c r="CF59" s="1" t="s">
        <v>266</v>
      </c>
      <c r="CG59">
        <v>3</v>
      </c>
      <c r="CH59">
        <f t="shared" si="19"/>
        <v>1.3100436681222707</v>
      </c>
      <c r="CJ59">
        <v>0</v>
      </c>
      <c r="CK59">
        <f t="shared" si="20"/>
        <v>0</v>
      </c>
      <c r="CM59">
        <v>0</v>
      </c>
      <c r="CN59">
        <f t="shared" si="21"/>
        <v>0</v>
      </c>
      <c r="CP59">
        <v>3</v>
      </c>
      <c r="CQ59">
        <f t="shared" si="22"/>
        <v>0.11454753722794961</v>
      </c>
    </row>
    <row r="60" spans="13:95" x14ac:dyDescent="0.25">
      <c r="AY60" t="s">
        <v>319</v>
      </c>
      <c r="AZ60" s="1" t="s">
        <v>27</v>
      </c>
      <c r="BA60">
        <v>0</v>
      </c>
      <c r="BB60">
        <f t="shared" si="12"/>
        <v>0</v>
      </c>
      <c r="BD60">
        <v>1</v>
      </c>
      <c r="BE60">
        <f t="shared" si="13"/>
        <v>6.5146579804560262E-2</v>
      </c>
      <c r="BG60">
        <v>10</v>
      </c>
      <c r="BH60">
        <f t="shared" si="14"/>
        <v>2.2727272727272729</v>
      </c>
      <c r="BJ60">
        <v>0</v>
      </c>
      <c r="BK60">
        <f t="shared" si="15"/>
        <v>0</v>
      </c>
      <c r="CE60" s="36" t="s">
        <v>715</v>
      </c>
      <c r="CF60" s="1" t="s">
        <v>130</v>
      </c>
      <c r="CG60">
        <v>4</v>
      </c>
      <c r="CH60">
        <f t="shared" si="19"/>
        <v>1.7467248908296942</v>
      </c>
      <c r="CJ60">
        <v>4</v>
      </c>
      <c r="CK60">
        <f t="shared" si="20"/>
        <v>0.89485458612975388</v>
      </c>
      <c r="CM60">
        <v>1</v>
      </c>
      <c r="CN60">
        <f t="shared" si="21"/>
        <v>3.741114852225963E-2</v>
      </c>
      <c r="CP60">
        <v>1</v>
      </c>
      <c r="CQ60">
        <f t="shared" si="22"/>
        <v>3.8182512409316534E-2</v>
      </c>
    </row>
    <row r="61" spans="13:95" x14ac:dyDescent="0.25">
      <c r="N61" s="1"/>
      <c r="AY61" t="s">
        <v>677</v>
      </c>
      <c r="AZ61" t="s">
        <v>686</v>
      </c>
      <c r="BA61">
        <v>5</v>
      </c>
      <c r="BB61">
        <f t="shared" si="12"/>
        <v>0.17587055926837847</v>
      </c>
      <c r="BD61">
        <v>0</v>
      </c>
      <c r="BE61">
        <f t="shared" si="13"/>
        <v>0</v>
      </c>
      <c r="BG61">
        <v>0</v>
      </c>
      <c r="BH61">
        <f t="shared" si="14"/>
        <v>0</v>
      </c>
      <c r="BJ61">
        <v>0</v>
      </c>
      <c r="BK61">
        <f t="shared" si="15"/>
        <v>0</v>
      </c>
      <c r="CE61" s="36" t="s">
        <v>715</v>
      </c>
      <c r="CF61" t="s">
        <v>292</v>
      </c>
      <c r="CG61">
        <v>0</v>
      </c>
      <c r="CH61">
        <f t="shared" si="19"/>
        <v>0</v>
      </c>
      <c r="CJ61">
        <v>5</v>
      </c>
      <c r="CK61">
        <f t="shared" si="20"/>
        <v>1.1185682326621924</v>
      </c>
      <c r="CM61">
        <v>2</v>
      </c>
      <c r="CN61">
        <f t="shared" si="21"/>
        <v>7.4822297044519259E-2</v>
      </c>
      <c r="CP61">
        <v>2</v>
      </c>
      <c r="CQ61">
        <f t="shared" si="22"/>
        <v>7.6365024818633068E-2</v>
      </c>
    </row>
    <row r="62" spans="13:95" x14ac:dyDescent="0.25">
      <c r="AY62" t="s">
        <v>568</v>
      </c>
      <c r="AZ62" s="1" t="s">
        <v>229</v>
      </c>
      <c r="BA62">
        <v>0</v>
      </c>
      <c r="BB62">
        <f t="shared" si="12"/>
        <v>0</v>
      </c>
      <c r="BD62">
        <v>2</v>
      </c>
      <c r="BE62">
        <f t="shared" si="13"/>
        <v>0.13029315960912052</v>
      </c>
      <c r="BG62">
        <v>1</v>
      </c>
      <c r="BH62">
        <f t="shared" si="14"/>
        <v>0.22727272727272727</v>
      </c>
      <c r="BJ62">
        <v>0</v>
      </c>
      <c r="BK62">
        <f t="shared" si="15"/>
        <v>0</v>
      </c>
      <c r="CE62" s="36" t="s">
        <v>715</v>
      </c>
      <c r="CF62" t="s">
        <v>300</v>
      </c>
      <c r="CG62">
        <v>0</v>
      </c>
      <c r="CH62">
        <f t="shared" si="19"/>
        <v>0</v>
      </c>
      <c r="CJ62">
        <v>0</v>
      </c>
      <c r="CK62">
        <f t="shared" si="20"/>
        <v>0</v>
      </c>
      <c r="CM62">
        <v>0</v>
      </c>
      <c r="CN62">
        <f t="shared" si="21"/>
        <v>0</v>
      </c>
      <c r="CP62">
        <v>5</v>
      </c>
      <c r="CQ62">
        <f t="shared" si="22"/>
        <v>0.19091256204658266</v>
      </c>
    </row>
    <row r="63" spans="13:95" x14ac:dyDescent="0.25">
      <c r="N63" s="1"/>
      <c r="AY63" t="s">
        <v>568</v>
      </c>
      <c r="AZ63" s="1" t="s">
        <v>222</v>
      </c>
      <c r="BA63">
        <v>0</v>
      </c>
      <c r="BB63">
        <f t="shared" si="12"/>
        <v>0</v>
      </c>
      <c r="BD63">
        <v>2</v>
      </c>
      <c r="BE63">
        <f t="shared" si="13"/>
        <v>0.13029315960912052</v>
      </c>
      <c r="BG63">
        <v>3</v>
      </c>
      <c r="BH63">
        <f t="shared" si="14"/>
        <v>0.68181818181818177</v>
      </c>
      <c r="BJ63">
        <v>0</v>
      </c>
      <c r="BK63">
        <f t="shared" si="15"/>
        <v>0</v>
      </c>
      <c r="CE63" s="36" t="s">
        <v>715</v>
      </c>
      <c r="CF63" s="1" t="s">
        <v>156</v>
      </c>
      <c r="CG63">
        <v>0</v>
      </c>
      <c r="CH63">
        <f t="shared" si="19"/>
        <v>0</v>
      </c>
      <c r="CJ63">
        <v>0</v>
      </c>
      <c r="CK63">
        <f t="shared" si="20"/>
        <v>0</v>
      </c>
      <c r="CM63">
        <v>0</v>
      </c>
      <c r="CN63">
        <f t="shared" si="21"/>
        <v>0</v>
      </c>
      <c r="CP63">
        <v>1</v>
      </c>
      <c r="CQ63">
        <f t="shared" si="22"/>
        <v>3.8182512409316534E-2</v>
      </c>
    </row>
    <row r="64" spans="13:95" x14ac:dyDescent="0.25">
      <c r="N64" s="1"/>
      <c r="AY64" t="s">
        <v>568</v>
      </c>
      <c r="AZ64" t="s">
        <v>250</v>
      </c>
      <c r="BA64">
        <v>0</v>
      </c>
      <c r="BB64">
        <f t="shared" si="12"/>
        <v>0</v>
      </c>
      <c r="BD64">
        <v>0</v>
      </c>
      <c r="BE64">
        <f t="shared" si="13"/>
        <v>0</v>
      </c>
      <c r="BG64">
        <v>0</v>
      </c>
      <c r="BH64">
        <f t="shared" si="14"/>
        <v>0</v>
      </c>
      <c r="BJ64">
        <v>3</v>
      </c>
      <c r="BK64">
        <f t="shared" si="15"/>
        <v>1.0204081632653061</v>
      </c>
      <c r="CE64" t="s">
        <v>309</v>
      </c>
      <c r="CF64" t="s">
        <v>295</v>
      </c>
      <c r="CG64">
        <v>0</v>
      </c>
      <c r="CH64">
        <f t="shared" si="19"/>
        <v>0</v>
      </c>
      <c r="CJ64">
        <v>10</v>
      </c>
      <c r="CK64">
        <f t="shared" si="20"/>
        <v>2.2371364653243848</v>
      </c>
      <c r="CM64">
        <v>4</v>
      </c>
      <c r="CN64">
        <f t="shared" si="21"/>
        <v>0.14964459408903852</v>
      </c>
      <c r="CP64">
        <v>9</v>
      </c>
      <c r="CQ64">
        <f t="shared" si="22"/>
        <v>0.3436426116838488</v>
      </c>
    </row>
    <row r="65" spans="14:95" x14ac:dyDescent="0.25">
      <c r="AY65" t="s">
        <v>568</v>
      </c>
      <c r="AZ65" t="s">
        <v>252</v>
      </c>
      <c r="BA65">
        <v>0</v>
      </c>
      <c r="BB65">
        <f t="shared" si="12"/>
        <v>0</v>
      </c>
      <c r="BD65">
        <v>0</v>
      </c>
      <c r="BE65">
        <f t="shared" si="13"/>
        <v>0</v>
      </c>
      <c r="BG65">
        <v>0</v>
      </c>
      <c r="BH65">
        <f t="shared" si="14"/>
        <v>0</v>
      </c>
      <c r="BJ65">
        <v>17</v>
      </c>
      <c r="BK65">
        <f t="shared" si="15"/>
        <v>5.7823129251700678</v>
      </c>
      <c r="CE65" t="s">
        <v>325</v>
      </c>
      <c r="CF65" t="s">
        <v>254</v>
      </c>
      <c r="CG65">
        <v>1</v>
      </c>
      <c r="CH65">
        <f t="shared" si="19"/>
        <v>0.43668122270742354</v>
      </c>
      <c r="CJ65">
        <v>8</v>
      </c>
      <c r="CK65">
        <f t="shared" si="20"/>
        <v>1.7897091722595078</v>
      </c>
      <c r="CM65">
        <v>2</v>
      </c>
      <c r="CN65">
        <f t="shared" si="21"/>
        <v>7.4822297044519259E-2</v>
      </c>
      <c r="CP65">
        <v>5</v>
      </c>
      <c r="CQ65">
        <f t="shared" si="22"/>
        <v>0.19091256204658266</v>
      </c>
    </row>
    <row r="66" spans="14:95" x14ac:dyDescent="0.25">
      <c r="N66" s="1"/>
      <c r="BA66">
        <f>SUM(BA3:BA65)</f>
        <v>2843</v>
      </c>
      <c r="BB66">
        <f t="shared" ref="BB66:BL66" si="40">SUM(BB3:BB65)</f>
        <v>99.999999999999986</v>
      </c>
      <c r="BD66">
        <f t="shared" si="40"/>
        <v>1535</v>
      </c>
      <c r="BE66">
        <f t="shared" si="40"/>
        <v>100</v>
      </c>
      <c r="BG66">
        <f t="shared" si="40"/>
        <v>440</v>
      </c>
      <c r="BH66">
        <f t="shared" si="40"/>
        <v>100</v>
      </c>
      <c r="BJ66">
        <f t="shared" si="40"/>
        <v>294</v>
      </c>
      <c r="BK66">
        <f t="shared" si="40"/>
        <v>100</v>
      </c>
      <c r="CE66" t="s">
        <v>568</v>
      </c>
      <c r="CF66" s="1" t="s">
        <v>222</v>
      </c>
      <c r="CG66">
        <v>5</v>
      </c>
      <c r="CH66">
        <f t="shared" si="19"/>
        <v>2.1834061135371177</v>
      </c>
      <c r="CJ66">
        <v>0</v>
      </c>
      <c r="CK66">
        <f t="shared" si="20"/>
        <v>0</v>
      </c>
      <c r="CM66">
        <v>0</v>
      </c>
      <c r="CN66">
        <f t="shared" si="21"/>
        <v>0</v>
      </c>
      <c r="CP66">
        <v>0</v>
      </c>
      <c r="CQ66">
        <f t="shared" si="22"/>
        <v>0</v>
      </c>
    </row>
    <row r="67" spans="14:95" x14ac:dyDescent="0.25">
      <c r="N67" s="1"/>
      <c r="CE67" t="s">
        <v>568</v>
      </c>
      <c r="CF67" s="1" t="s">
        <v>261</v>
      </c>
      <c r="CG67">
        <v>0</v>
      </c>
      <c r="CH67">
        <f t="shared" si="19"/>
        <v>0</v>
      </c>
      <c r="CJ67">
        <v>4</v>
      </c>
      <c r="CK67">
        <f t="shared" si="20"/>
        <v>0.89485458612975388</v>
      </c>
      <c r="CM67">
        <v>1</v>
      </c>
      <c r="CN67">
        <f t="shared" si="21"/>
        <v>3.741114852225963E-2</v>
      </c>
      <c r="CP67">
        <v>0</v>
      </c>
      <c r="CQ67">
        <f t="shared" si="22"/>
        <v>0</v>
      </c>
    </row>
    <row r="68" spans="14:95" x14ac:dyDescent="0.25">
      <c r="CE68" t="s">
        <v>568</v>
      </c>
      <c r="CF68" s="1" t="s">
        <v>259</v>
      </c>
      <c r="CG68">
        <v>0</v>
      </c>
      <c r="CH68">
        <f>CG68/229*100</f>
        <v>0</v>
      </c>
      <c r="CJ68">
        <v>1</v>
      </c>
      <c r="CK68">
        <f>CJ68/447*100</f>
        <v>0.22371364653243847</v>
      </c>
      <c r="CM68">
        <v>0</v>
      </c>
      <c r="CN68">
        <f>CM68/2673*100</f>
        <v>0</v>
      </c>
      <c r="CP68">
        <v>0</v>
      </c>
      <c r="CQ68">
        <f>CP68/2619*100</f>
        <v>0</v>
      </c>
    </row>
    <row r="69" spans="14:95" x14ac:dyDescent="0.25">
      <c r="CE69" t="s">
        <v>568</v>
      </c>
      <c r="CF69" s="1" t="s">
        <v>287</v>
      </c>
      <c r="CG69">
        <v>4</v>
      </c>
      <c r="CH69">
        <f>CG69/229*100</f>
        <v>1.7467248908296942</v>
      </c>
      <c r="CJ69">
        <v>17</v>
      </c>
      <c r="CK69">
        <f>CJ69/447*100</f>
        <v>3.8031319910514538</v>
      </c>
      <c r="CM69">
        <v>0</v>
      </c>
      <c r="CN69">
        <f>CM69/2673*100</f>
        <v>0</v>
      </c>
      <c r="CP69">
        <v>1</v>
      </c>
      <c r="CQ69">
        <f>CP69/2619*100</f>
        <v>3.8182512409316534E-2</v>
      </c>
    </row>
    <row r="70" spans="14:95" x14ac:dyDescent="0.25">
      <c r="CE70" t="s">
        <v>568</v>
      </c>
      <c r="CF70" s="1" t="s">
        <v>67</v>
      </c>
      <c r="CG70">
        <v>0</v>
      </c>
      <c r="CH70">
        <f>CG70/229*100</f>
        <v>0</v>
      </c>
      <c r="CJ70">
        <v>3</v>
      </c>
      <c r="CK70">
        <f>CJ70/447*100</f>
        <v>0.67114093959731547</v>
      </c>
      <c r="CM70">
        <v>0</v>
      </c>
      <c r="CN70">
        <f>CM70/2673*100</f>
        <v>0</v>
      </c>
      <c r="CP70">
        <v>0</v>
      </c>
      <c r="CQ70">
        <f>CP70/2619*100</f>
        <v>0</v>
      </c>
    </row>
    <row r="71" spans="14:95" x14ac:dyDescent="0.25">
      <c r="CG71">
        <f>SUM(CG3:CG70)</f>
        <v>229</v>
      </c>
      <c r="CH71">
        <f t="shared" ref="CH71:CR71" si="41">SUM(CH3:CH70)</f>
        <v>100</v>
      </c>
      <c r="CJ71">
        <f t="shared" si="41"/>
        <v>447</v>
      </c>
      <c r="CK71">
        <f t="shared" si="41"/>
        <v>100.00000000000003</v>
      </c>
      <c r="CM71">
        <f t="shared" si="41"/>
        <v>2673</v>
      </c>
      <c r="CN71">
        <f t="shared" si="41"/>
        <v>100</v>
      </c>
      <c r="CP71">
        <f t="shared" si="41"/>
        <v>2619</v>
      </c>
      <c r="CQ71">
        <f t="shared" si="41"/>
        <v>99.999999999999986</v>
      </c>
    </row>
    <row r="75" spans="14:95" x14ac:dyDescent="0.25">
      <c r="N75" s="1"/>
    </row>
    <row r="76" spans="14:95" x14ac:dyDescent="0.25">
      <c r="N76" s="1"/>
    </row>
    <row r="77" spans="14:95" x14ac:dyDescent="0.25">
      <c r="N77" s="1"/>
    </row>
    <row r="78" spans="14:95" x14ac:dyDescent="0.25">
      <c r="N78" s="1"/>
    </row>
    <row r="90" spans="14:14" ht="15.75" x14ac:dyDescent="0.25">
      <c r="N90" s="7"/>
    </row>
    <row r="92" spans="14:14" x14ac:dyDescent="0.25">
      <c r="N92" s="1"/>
    </row>
    <row r="95" spans="14:14" x14ac:dyDescent="0.25">
      <c r="N95" s="1"/>
    </row>
    <row r="96" spans="14:14" x14ac:dyDescent="0.25">
      <c r="N96" s="1"/>
    </row>
    <row r="100" spans="14:17" x14ac:dyDescent="0.25">
      <c r="N100" s="1"/>
    </row>
    <row r="101" spans="14:17" x14ac:dyDescent="0.25">
      <c r="N101" s="1"/>
    </row>
    <row r="103" spans="14:17" x14ac:dyDescent="0.25">
      <c r="N103" s="1"/>
    </row>
    <row r="104" spans="14:17" x14ac:dyDescent="0.25">
      <c r="N104" s="1"/>
    </row>
    <row r="108" spans="14:17" x14ac:dyDescent="0.25">
      <c r="O108" s="3"/>
      <c r="P108" s="3"/>
      <c r="Q108" s="3"/>
    </row>
  </sheetData>
  <sortState xmlns:xlrd2="http://schemas.microsoft.com/office/spreadsheetml/2017/richdata2" ref="AS3:AU57">
    <sortCondition ref="AS3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828CA-7546-48FE-9F65-75E496978008}">
  <dimension ref="A1:M2"/>
  <sheetViews>
    <sheetView tabSelected="1" workbookViewId="0">
      <selection activeCell="P3" sqref="P3"/>
    </sheetView>
  </sheetViews>
  <sheetFormatPr defaultRowHeight="15" x14ac:dyDescent="0.25"/>
  <sheetData>
    <row r="1" spans="1:13" x14ac:dyDescent="0.25">
      <c r="A1" s="37" t="s">
        <v>688</v>
      </c>
      <c r="B1" s="37" t="s">
        <v>689</v>
      </c>
      <c r="C1" s="37" t="s">
        <v>690</v>
      </c>
      <c r="D1" s="37" t="s">
        <v>691</v>
      </c>
      <c r="E1" s="37" t="s">
        <v>692</v>
      </c>
      <c r="F1" s="37" t="s">
        <v>693</v>
      </c>
      <c r="G1" s="37" t="s">
        <v>694</v>
      </c>
      <c r="H1" s="37" t="s">
        <v>695</v>
      </c>
      <c r="I1" s="37" t="s">
        <v>696</v>
      </c>
      <c r="J1" s="37" t="s">
        <v>697</v>
      </c>
      <c r="K1" s="37" t="s">
        <v>698</v>
      </c>
      <c r="L1" s="37" t="s">
        <v>699</v>
      </c>
      <c r="M1" s="37" t="s">
        <v>700</v>
      </c>
    </row>
    <row r="2" spans="1:13" x14ac:dyDescent="0.25">
      <c r="A2" s="36" t="s">
        <v>702</v>
      </c>
      <c r="B2" s="36" t="s">
        <v>710</v>
      </c>
      <c r="C2" s="36" t="s">
        <v>703</v>
      </c>
      <c r="D2" s="36" t="s">
        <v>704</v>
      </c>
      <c r="E2" s="36" t="s">
        <v>705</v>
      </c>
      <c r="F2" s="36" t="s">
        <v>706</v>
      </c>
      <c r="G2" s="36" t="s">
        <v>707</v>
      </c>
      <c r="H2" s="39" t="s">
        <v>708</v>
      </c>
      <c r="I2" s="39" t="s">
        <v>709</v>
      </c>
      <c r="J2" s="36">
        <v>1</v>
      </c>
      <c r="K2" s="36">
        <v>1</v>
      </c>
      <c r="L2" s="36" t="s">
        <v>701</v>
      </c>
      <c r="M2" s="36" t="s">
        <v>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Benya </vt:lpstr>
      <vt:lpstr>CompositionofToxicPhytoplankton</vt:lpstr>
      <vt:lpstr>Narkwa</vt:lpstr>
      <vt:lpstr>Monthly_ %composition_BY</vt:lpstr>
      <vt:lpstr>Monthly_%composition_Narkwa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Mr_Boamah</cp:lastModifiedBy>
  <cp:lastPrinted>2021-05-23T10:40:08Z</cp:lastPrinted>
  <dcterms:created xsi:type="dcterms:W3CDTF">2021-05-22T16:28:47Z</dcterms:created>
  <dcterms:modified xsi:type="dcterms:W3CDTF">2023-11-03T09:55:18Z</dcterms:modified>
</cp:coreProperties>
</file>